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mc:AlternateContent xmlns:mc="http://schemas.openxmlformats.org/markup-compatibility/2006">
    <mc:Choice Requires="x15">
      <x15ac:absPath xmlns:x15ac="http://schemas.microsoft.com/office/spreadsheetml/2010/11/ac" url="C:\Users\KD\Desktop\"/>
    </mc:Choice>
  </mc:AlternateContent>
  <xr:revisionPtr revIDLastSave="0" documentId="13_ncr:1_{B7966A36-558F-4822-9541-B8835CA0716C}" xr6:coauthVersionLast="45" xr6:coauthVersionMax="47" xr10:uidLastSave="{00000000-0000-0000-0000-000000000000}"/>
  <bookViews>
    <workbookView xWindow="-120" yWindow="-120" windowWidth="20730" windowHeight="11160" tabRatio="963" xr2:uid="{00000000-000D-0000-FFFF-FFFF00000000}"/>
  </bookViews>
  <sheets>
    <sheet name="Resumo" sheetId="1" r:id="rId1"/>
    <sheet name=" 1-CANTEIRO" sheetId="2" r:id="rId2"/>
    <sheet name="2-ADMINISTRAÇÃO" sheetId="3" r:id="rId3"/>
    <sheet name="3-CAPTAÇÃO (2)" sheetId="19" r:id="rId4"/>
    <sheet name="4-ADUTORAS " sheetId="5" r:id="rId5"/>
    <sheet name="5-ETA " sheetId="6" r:id="rId6"/>
    <sheet name="7-RESERVATÓRIO APOIADO" sheetId="8" r:id="rId7"/>
    <sheet name="9-REL ELEVADO 227 M³" sheetId="10" r:id="rId8"/>
    <sheet name="BDI" sheetId="16" r:id="rId9"/>
    <sheet name="CRONOGRAMA" sheetId="17" r:id="rId10"/>
  </sheets>
  <definedNames>
    <definedName name="_BD2">#REF!</definedName>
    <definedName name="_c">#REF!</definedName>
    <definedName name="_d">#REF!</definedName>
    <definedName name="_xlnm._FilterDatabase" localSheetId="1" hidden="1">' 1-CANTEIRO'!$A$11:$O$30</definedName>
    <definedName name="_xlnm._FilterDatabase" localSheetId="2" hidden="1">'2-ADMINISTRAÇÃO'!$A$10:$U$10</definedName>
    <definedName name="_xlnm._FilterDatabase" localSheetId="3" hidden="1">'3-CAPTAÇÃO (2)'!$A$10:$O$140</definedName>
    <definedName name="_xlnm._FilterDatabase" localSheetId="4" hidden="1">'4-ADUTORAS '!$A$10:$J$150</definedName>
    <definedName name="_xlnm._FilterDatabase" localSheetId="5" hidden="1">'5-ETA '!$A$12:$P$30</definedName>
    <definedName name="_xlnm._FilterDatabase" localSheetId="6" hidden="1">'7-RESERVATÓRIO APOIADO'!$A$13:$Q$162</definedName>
    <definedName name="_xlnm._FilterDatabase" localSheetId="7" hidden="1">'9-REL ELEVADO 227 M³'!$A$12:$O$96</definedName>
    <definedName name="_MM" localSheetId="4">#REF!</definedName>
    <definedName name="_q">#REF!</definedName>
    <definedName name="_s">#REF!</definedName>
    <definedName name="_x">#REF!</definedName>
    <definedName name="A" localSheetId="4">#REF!</definedName>
    <definedName name="A">#REF!</definedName>
    <definedName name="acha.coluna" localSheetId="4">#REF!</definedName>
    <definedName name="acha.dados" localSheetId="4">#REF!</definedName>
    <definedName name="acha.linha" localSheetId="4">#REF!</definedName>
    <definedName name="_xlnm.Print_Area" localSheetId="1">' 1-CANTEIRO'!$A$1:$J$30</definedName>
    <definedName name="_xlnm.Print_Area" localSheetId="2">'2-ADMINISTRAÇÃO'!$A$1:$J$16</definedName>
    <definedName name="_xlnm.Print_Area" localSheetId="3">'3-CAPTAÇÃO (2)'!$A$1:$J$140</definedName>
    <definedName name="_xlnm.Print_Area" localSheetId="4">'4-ADUTORAS '!$A$1:$J$150</definedName>
    <definedName name="_xlnm.Print_Area" localSheetId="6">'7-RESERVATÓRIO APOIADO'!$A$1:$J$162</definedName>
    <definedName name="_xlnm.Print_Area" localSheetId="9">CRONOGRAMA!$C$1:$X$22</definedName>
    <definedName name="_xlnm.Print_Area" localSheetId="0">Resumo!$A$1:$F$17</definedName>
    <definedName name="Área_impressão_IM" localSheetId="4">#REF!</definedName>
    <definedName name="Área_impressão_IM">#REF!</definedName>
    <definedName name="AUXILIARES">#REF!</definedName>
    <definedName name="BANCO">#REF!</definedName>
    <definedName name="bdi">#REF!</definedName>
    <definedName name="Bomba_putzmeister">#REF!</definedName>
    <definedName name="Código">#REF!</definedName>
    <definedName name="Comprimento_Equivalente">#REF!</definedName>
    <definedName name="contratada">#REF!</definedName>
    <definedName name="demo">#REF!</definedName>
    <definedName name="DIAMETRO">#REF!</definedName>
    <definedName name="E" localSheetId="2">#REF!</definedName>
    <definedName name="E">#REF!</definedName>
    <definedName name="EQPTO">#REF!</definedName>
    <definedName name="Excel_BuiltIn_Print_Area_1">#REF!</definedName>
    <definedName name="Excel_BuiltIn_Print_Area_2">#REF!</definedName>
    <definedName name="Excel_BuiltIn_Print_Titles_1">#REF!</definedName>
    <definedName name="Excel_BuiltIn_Print_Titles_2">#REF!</definedName>
    <definedName name="Exist" localSheetId="4">#REF!</definedName>
    <definedName name="F" localSheetId="4">#REF!</definedName>
    <definedName name="gen">#REF!</definedName>
    <definedName name="I" localSheetId="4">#REF!</definedName>
    <definedName name="insumos">#REF!</definedName>
    <definedName name="ITEM">#REF!</definedName>
    <definedName name="lista" localSheetId="4">#REF!</definedName>
    <definedName name="lista.coluna" localSheetId="4">#REF!</definedName>
    <definedName name="lista.linha" localSheetId="4">#REF!</definedName>
    <definedName name="MAT">#REF!</definedName>
    <definedName name="MO">#REF!</definedName>
    <definedName name="nil" localSheetId="4">#REF!</definedName>
    <definedName name="PL_ABC">#REF!</definedName>
    <definedName name="planilha">#REF!</definedName>
    <definedName name="RAN1_2">#REF!</definedName>
    <definedName name="RAN1_3">#REF!</definedName>
    <definedName name="REATERRO_DE_VALAS_COMPACTADO_MECANICAMENTE">#REF!</definedName>
    <definedName name="RES_CPS">#REF!</definedName>
    <definedName name="serv">#REF!</definedName>
    <definedName name="tab">#REF!</definedName>
    <definedName name="telio" localSheetId="2">#REF!</definedName>
    <definedName name="telio">#REF!</definedName>
    <definedName name="TIT1_2">#REF!</definedName>
    <definedName name="TIT1_3">#REF!</definedName>
    <definedName name="TIT2_2">#REF!</definedName>
    <definedName name="TIT2_3">#REF!</definedName>
    <definedName name="_xlnm.Print_Titles" localSheetId="1">' 1-CANTEIRO'!$1:$9</definedName>
    <definedName name="_xlnm.Print_Titles" localSheetId="2">'2-ADMINISTRAÇÃO'!$1:$9</definedName>
    <definedName name="_xlnm.Print_Titles" localSheetId="3">'3-CAPTAÇÃO (2)'!$1:$9</definedName>
    <definedName name="_xlnm.Print_Titles" localSheetId="4">'4-ADUTORAS '!$1:$9</definedName>
    <definedName name="_xlnm.Print_Titles" localSheetId="5">'5-ETA '!$1:$9</definedName>
    <definedName name="_xlnm.Print_Titles" localSheetId="7">'9-REL ELEVADO 227 M³'!$1:$9</definedName>
    <definedName name="_xlnm.Print_Titles" localSheetId="0">Resumo!$1:$4</definedName>
    <definedName name="TOT">#REF!</definedName>
    <definedName name="total">#REF!</definedName>
    <definedName name="Valores">#REF!</definedName>
    <definedName name="VALORES_VALORES_Listar">#REF!</definedName>
    <definedName name="Volume">#REF!</definedName>
  </definedNames>
  <calcPr calcId="181029"/>
</workbook>
</file>

<file path=xl/calcChain.xml><?xml version="1.0" encoding="utf-8"?>
<calcChain xmlns="http://schemas.openxmlformats.org/spreadsheetml/2006/main">
  <c r="F19" i="17" l="1"/>
  <c r="E16" i="17"/>
  <c r="M17" i="17" s="1"/>
  <c r="X16" i="17"/>
  <c r="K17" i="17"/>
  <c r="L17" i="17"/>
  <c r="N17" i="17"/>
  <c r="O17" i="17"/>
  <c r="C10" i="1"/>
  <c r="X17" i="17" l="1"/>
  <c r="G20" i="2"/>
  <c r="X14" i="17" l="1"/>
  <c r="X12" i="17"/>
  <c r="X10" i="17" l="1"/>
  <c r="X8" i="17"/>
  <c r="X6" i="17" l="1"/>
  <c r="X4" i="17"/>
  <c r="C18" i="16" l="1"/>
  <c r="G13" i="16"/>
  <c r="C13" i="16"/>
  <c r="G8" i="16"/>
  <c r="C8" i="16"/>
  <c r="C20" i="16" l="1"/>
  <c r="G30" i="10" l="1"/>
  <c r="I7" i="10"/>
  <c r="I25" i="10" s="1"/>
  <c r="I14" i="10" l="1"/>
  <c r="I23" i="10"/>
  <c r="I22" i="10"/>
  <c r="J22" i="10" s="1"/>
  <c r="I29" i="10"/>
  <c r="J29" i="10" s="1"/>
  <c r="I27" i="10"/>
  <c r="I21" i="10"/>
  <c r="I15" i="10"/>
  <c r="I26" i="10"/>
  <c r="I18" i="10"/>
  <c r="J26" i="10"/>
  <c r="J21" i="10"/>
  <c r="J25" i="10"/>
  <c r="I94" i="10"/>
  <c r="I90" i="10"/>
  <c r="I37" i="10"/>
  <c r="I33" i="10"/>
  <c r="I95" i="10"/>
  <c r="J94" i="10" s="1"/>
  <c r="I91" i="10"/>
  <c r="J90" i="10" s="1"/>
  <c r="I36" i="10"/>
  <c r="I96" i="10"/>
  <c r="I92" i="10"/>
  <c r="I88" i="10"/>
  <c r="I35" i="10"/>
  <c r="I31" i="10"/>
  <c r="G31" i="10" s="1"/>
  <c r="I93" i="10"/>
  <c r="J92" i="10" s="1"/>
  <c r="I89" i="10"/>
  <c r="I32" i="10"/>
  <c r="I12" i="10"/>
  <c r="I16" i="10"/>
  <c r="I20" i="10"/>
  <c r="J20" i="10" s="1"/>
  <c r="I24" i="10"/>
  <c r="I28" i="10"/>
  <c r="I148" i="8"/>
  <c r="I147" i="8"/>
  <c r="J88" i="10" l="1"/>
  <c r="J14" i="10"/>
  <c r="J27" i="10"/>
  <c r="J23" i="10"/>
  <c r="J15" i="10"/>
  <c r="J32" i="10"/>
  <c r="J24" i="10"/>
  <c r="J89" i="10"/>
  <c r="J33" i="10"/>
  <c r="J31" i="10"/>
  <c r="J35" i="10"/>
  <c r="J36" i="10"/>
  <c r="J95" i="10"/>
  <c r="J96" i="10"/>
  <c r="J147" i="8"/>
  <c r="J91" i="10"/>
  <c r="J93" i="10"/>
  <c r="J28" i="10"/>
  <c r="I146" i="8"/>
  <c r="I145" i="8"/>
  <c r="J145" i="8" l="1"/>
  <c r="J146" i="8"/>
  <c r="I144" i="8"/>
  <c r="J144" i="8" s="1"/>
  <c r="I143" i="8" l="1"/>
  <c r="J143" i="8" s="1"/>
  <c r="I142" i="8"/>
  <c r="J141" i="8" s="1"/>
  <c r="I141" i="8"/>
  <c r="I140" i="8"/>
  <c r="I139" i="8"/>
  <c r="I138" i="8"/>
  <c r="I137" i="8"/>
  <c r="I136" i="8"/>
  <c r="J135" i="8" s="1"/>
  <c r="I135" i="8"/>
  <c r="I134" i="8"/>
  <c r="J133" i="8" s="1"/>
  <c r="I133" i="8"/>
  <c r="I132" i="8"/>
  <c r="I131" i="8"/>
  <c r="I130" i="8"/>
  <c r="I129" i="8"/>
  <c r="I128" i="8"/>
  <c r="I127" i="8"/>
  <c r="I126" i="8"/>
  <c r="J125" i="8" s="1"/>
  <c r="I125" i="8"/>
  <c r="I124" i="8"/>
  <c r="J123" i="8" s="1"/>
  <c r="I123" i="8"/>
  <c r="J139" i="8" l="1"/>
  <c r="J137" i="8"/>
  <c r="J127" i="8"/>
  <c r="J129" i="8"/>
  <c r="J131" i="8"/>
  <c r="J126" i="8"/>
  <c r="J130" i="8"/>
  <c r="J134" i="8"/>
  <c r="J138" i="8"/>
  <c r="J142" i="8"/>
  <c r="J124" i="8"/>
  <c r="J128" i="8"/>
  <c r="J132" i="8"/>
  <c r="J136" i="8"/>
  <c r="J140" i="8"/>
  <c r="G115" i="8"/>
  <c r="G114" i="8"/>
  <c r="I108" i="8"/>
  <c r="I107" i="8"/>
  <c r="I106" i="8"/>
  <c r="I105" i="8"/>
  <c r="I104" i="8"/>
  <c r="I103" i="8"/>
  <c r="I102" i="8"/>
  <c r="I101" i="8"/>
  <c r="I100" i="8"/>
  <c r="I99" i="8"/>
  <c r="I98" i="8"/>
  <c r="I97" i="8"/>
  <c r="I96" i="8"/>
  <c r="I95" i="8"/>
  <c r="I94" i="8"/>
  <c r="I93" i="8"/>
  <c r="I92" i="8"/>
  <c r="I91" i="8"/>
  <c r="I90" i="8"/>
  <c r="I89" i="8"/>
  <c r="I88" i="8"/>
  <c r="I87" i="8"/>
  <c r="I86" i="8"/>
  <c r="I85" i="8"/>
  <c r="I74" i="8"/>
  <c r="I73" i="8"/>
  <c r="I72" i="8"/>
  <c r="I71" i="8"/>
  <c r="I70" i="8"/>
  <c r="I69" i="8"/>
  <c r="I68" i="8"/>
  <c r="I67" i="8"/>
  <c r="I66" i="8"/>
  <c r="I65" i="8"/>
  <c r="I64" i="8"/>
  <c r="I63" i="8"/>
  <c r="I62" i="8"/>
  <c r="I61" i="8"/>
  <c r="I53" i="8"/>
  <c r="I51" i="8"/>
  <c r="I7" i="8"/>
  <c r="I118" i="8" s="1"/>
  <c r="I7" i="6"/>
  <c r="E186" i="5" s="1"/>
  <c r="E185" i="5"/>
  <c r="J68" i="8" l="1"/>
  <c r="J64" i="8"/>
  <c r="J72" i="8"/>
  <c r="J86" i="8"/>
  <c r="J90" i="8"/>
  <c r="J94" i="8"/>
  <c r="J98" i="8"/>
  <c r="J102" i="8"/>
  <c r="J106" i="8"/>
  <c r="I16" i="6"/>
  <c r="J62" i="8"/>
  <c r="J66" i="8"/>
  <c r="J70" i="8"/>
  <c r="J88" i="8"/>
  <c r="J92" i="8"/>
  <c r="J96" i="8"/>
  <c r="J100" i="8"/>
  <c r="J104" i="8"/>
  <c r="I25" i="6"/>
  <c r="I13" i="8"/>
  <c r="I17" i="8"/>
  <c r="I21" i="8"/>
  <c r="I26" i="8"/>
  <c r="I30" i="8"/>
  <c r="I34" i="8"/>
  <c r="I38" i="8"/>
  <c r="I42" i="8"/>
  <c r="I46" i="8"/>
  <c r="I54" i="8"/>
  <c r="J53" i="8" s="1"/>
  <c r="I58" i="8"/>
  <c r="I79" i="8"/>
  <c r="I113" i="8"/>
  <c r="I115" i="8"/>
  <c r="I119" i="8"/>
  <c r="J118" i="8" s="1"/>
  <c r="I20" i="6"/>
  <c r="I30" i="6"/>
  <c r="I14" i="6"/>
  <c r="I19" i="6"/>
  <c r="I24" i="6"/>
  <c r="I28" i="6"/>
  <c r="I16" i="8"/>
  <c r="I20" i="8"/>
  <c r="I25" i="8"/>
  <c r="I29" i="8"/>
  <c r="I33" i="8"/>
  <c r="I37" i="8"/>
  <c r="I41" i="8"/>
  <c r="I45" i="8"/>
  <c r="I49" i="8"/>
  <c r="I57" i="8"/>
  <c r="J61" i="8"/>
  <c r="J65" i="8"/>
  <c r="J69" i="8"/>
  <c r="J73" i="8"/>
  <c r="I78" i="8"/>
  <c r="I82" i="8"/>
  <c r="J87" i="8"/>
  <c r="J91" i="8"/>
  <c r="J95" i="8"/>
  <c r="J99" i="8"/>
  <c r="J103" i="8"/>
  <c r="J107" i="8"/>
  <c r="I112" i="8"/>
  <c r="I160" i="8"/>
  <c r="I156" i="8"/>
  <c r="I152" i="8"/>
  <c r="I153" i="8"/>
  <c r="I151" i="8"/>
  <c r="I162" i="8"/>
  <c r="I157" i="8"/>
  <c r="I155" i="8"/>
  <c r="I158" i="8"/>
  <c r="I154" i="8"/>
  <c r="J153" i="8" s="1"/>
  <c r="I150" i="8"/>
  <c r="I159" i="8"/>
  <c r="I15" i="8"/>
  <c r="I19" i="8"/>
  <c r="I28" i="8"/>
  <c r="I32" i="8"/>
  <c r="I36" i="8"/>
  <c r="I44" i="8"/>
  <c r="I48" i="8"/>
  <c r="I52" i="8"/>
  <c r="J51" i="8" s="1"/>
  <c r="I56" i="8"/>
  <c r="I77" i="8"/>
  <c r="I81" i="8"/>
  <c r="I111" i="8"/>
  <c r="I114" i="8"/>
  <c r="J114" i="8" s="1"/>
  <c r="I117" i="8"/>
  <c r="J117" i="8" s="1"/>
  <c r="I27" i="6"/>
  <c r="I12" i="6"/>
  <c r="I17" i="6"/>
  <c r="I26" i="6"/>
  <c r="J25" i="6" s="1"/>
  <c r="J30" i="6"/>
  <c r="I18" i="8"/>
  <c r="J17" i="8" s="1"/>
  <c r="I23" i="8"/>
  <c r="I27" i="8"/>
  <c r="I31" i="8"/>
  <c r="I35" i="8"/>
  <c r="I39" i="8"/>
  <c r="I43" i="8"/>
  <c r="I47" i="8"/>
  <c r="I55" i="8"/>
  <c r="J54" i="8" s="1"/>
  <c r="J63" i="8"/>
  <c r="J67" i="8"/>
  <c r="J71" i="8"/>
  <c r="I76" i="8"/>
  <c r="I80" i="8"/>
  <c r="J79" i="8" s="1"/>
  <c r="J85" i="8"/>
  <c r="J89" i="8"/>
  <c r="J93" i="8"/>
  <c r="J97" i="8"/>
  <c r="J101" i="8"/>
  <c r="J105" i="8"/>
  <c r="I110" i="8"/>
  <c r="J113" i="8"/>
  <c r="I116" i="8"/>
  <c r="J115" i="8" s="1"/>
  <c r="I120" i="8"/>
  <c r="G121" i="5"/>
  <c r="G120" i="5"/>
  <c r="G94" i="5"/>
  <c r="G69" i="5"/>
  <c r="G45" i="5"/>
  <c r="G21" i="5"/>
  <c r="I7" i="5"/>
  <c r="I119" i="5" s="1"/>
  <c r="I16" i="5" l="1"/>
  <c r="I37" i="5"/>
  <c r="J38" i="8"/>
  <c r="J34" i="8"/>
  <c r="I30" i="5"/>
  <c r="I20" i="5"/>
  <c r="I28" i="5"/>
  <c r="J119" i="8"/>
  <c r="J46" i="8"/>
  <c r="J30" i="8"/>
  <c r="J19" i="6"/>
  <c r="J42" i="8"/>
  <c r="J26" i="8"/>
  <c r="J16" i="6"/>
  <c r="I21" i="5"/>
  <c r="I34" i="5"/>
  <c r="I43" i="5"/>
  <c r="J156" i="8"/>
  <c r="J151" i="8"/>
  <c r="I32" i="5"/>
  <c r="I41" i="5"/>
  <c r="I39" i="5"/>
  <c r="I52" i="5"/>
  <c r="I56" i="5"/>
  <c r="I61" i="5"/>
  <c r="I65" i="5"/>
  <c r="I89" i="5"/>
  <c r="I93" i="5"/>
  <c r="J93" i="5" s="1"/>
  <c r="I104" i="5"/>
  <c r="I108" i="5"/>
  <c r="I120" i="5"/>
  <c r="J120" i="5" s="1"/>
  <c r="J110" i="8"/>
  <c r="J31" i="8"/>
  <c r="J81" i="8"/>
  <c r="J48" i="8"/>
  <c r="J32" i="8"/>
  <c r="J15" i="8"/>
  <c r="J112" i="8"/>
  <c r="J33" i="8"/>
  <c r="J16" i="8"/>
  <c r="I15" i="5"/>
  <c r="J15" i="5" s="1"/>
  <c r="I19" i="5"/>
  <c r="J19" i="5" s="1"/>
  <c r="I22" i="5"/>
  <c r="I40" i="5"/>
  <c r="J39" i="5" s="1"/>
  <c r="I44" i="5"/>
  <c r="I64" i="5"/>
  <c r="I68" i="5"/>
  <c r="I79" i="5"/>
  <c r="I83" i="5"/>
  <c r="I88" i="5"/>
  <c r="I92" i="5"/>
  <c r="I95" i="5"/>
  <c r="G95" i="5" s="1"/>
  <c r="I103" i="5"/>
  <c r="I107" i="5"/>
  <c r="I112" i="5"/>
  <c r="I116" i="5"/>
  <c r="J119" i="5"/>
  <c r="J55" i="8"/>
  <c r="J35" i="8"/>
  <c r="J158" i="8"/>
  <c r="J154" i="8"/>
  <c r="J152" i="8"/>
  <c r="J52" i="8"/>
  <c r="J36" i="8"/>
  <c r="J19" i="8"/>
  <c r="J27" i="6"/>
  <c r="J29" i="6"/>
  <c r="J28" i="6" s="1"/>
  <c r="J57" i="8"/>
  <c r="J37" i="8"/>
  <c r="J20" i="8"/>
  <c r="I46" i="5"/>
  <c r="I54" i="5"/>
  <c r="I58" i="5"/>
  <c r="I63" i="5"/>
  <c r="I67" i="5"/>
  <c r="I70" i="5"/>
  <c r="G70" i="5" s="1"/>
  <c r="I78" i="5"/>
  <c r="I82" i="5"/>
  <c r="I94" i="5"/>
  <c r="I115" i="5"/>
  <c r="J116" i="8"/>
  <c r="J76" i="8"/>
  <c r="J43" i="8"/>
  <c r="J18" i="8"/>
  <c r="J157" i="8"/>
  <c r="J150" i="8"/>
  <c r="J159" i="8"/>
  <c r="J56" i="8"/>
  <c r="J78" i="8"/>
  <c r="J41" i="8"/>
  <c r="J25" i="8"/>
  <c r="I138" i="5"/>
  <c r="I134" i="5"/>
  <c r="I139" i="5"/>
  <c r="I135" i="5"/>
  <c r="I131" i="5"/>
  <c r="I121" i="5"/>
  <c r="I140" i="5"/>
  <c r="J139" i="5" s="1"/>
  <c r="I136" i="5"/>
  <c r="J135" i="5" s="1"/>
  <c r="I132" i="5"/>
  <c r="I133" i="5"/>
  <c r="J162" i="8"/>
  <c r="J161" i="8" s="1"/>
  <c r="J160" i="8" s="1"/>
  <c r="I13" i="5"/>
  <c r="I17" i="5"/>
  <c r="J16" i="5" s="1"/>
  <c r="J20" i="5"/>
  <c r="I29" i="5"/>
  <c r="J28" i="5" s="1"/>
  <c r="I33" i="5"/>
  <c r="I45" i="5"/>
  <c r="I53" i="5"/>
  <c r="I57" i="5"/>
  <c r="J56" i="5" s="1"/>
  <c r="I69" i="5"/>
  <c r="I77" i="5"/>
  <c r="I81" i="5"/>
  <c r="I86" i="5"/>
  <c r="I90" i="5"/>
  <c r="I105" i="5"/>
  <c r="J104" i="5" s="1"/>
  <c r="I109" i="5"/>
  <c r="I114" i="5"/>
  <c r="I118" i="5"/>
  <c r="J118" i="5" s="1"/>
  <c r="J26" i="6"/>
  <c r="J80" i="8"/>
  <c r="J47" i="8"/>
  <c r="J27" i="8"/>
  <c r="J155" i="8"/>
  <c r="J111" i="8"/>
  <c r="J77" i="8"/>
  <c r="J44" i="8"/>
  <c r="J28" i="8"/>
  <c r="J45" i="8"/>
  <c r="J29" i="8"/>
  <c r="J24" i="6"/>
  <c r="J138" i="5" l="1"/>
  <c r="J43" i="5"/>
  <c r="J23" i="6"/>
  <c r="J134" i="5"/>
  <c r="J21" i="5"/>
  <c r="J131" i="5"/>
  <c r="J89" i="5"/>
  <c r="J108" i="5"/>
  <c r="J52" i="5"/>
  <c r="J32" i="5"/>
  <c r="J81" i="5"/>
  <c r="J67" i="5"/>
  <c r="J92" i="5"/>
  <c r="J64" i="5"/>
  <c r="J132" i="5"/>
  <c r="J133" i="5"/>
  <c r="J69" i="5"/>
  <c r="J53" i="5"/>
  <c r="J29" i="5"/>
  <c r="J68" i="5"/>
  <c r="J149" i="8"/>
  <c r="J148" i="8" s="1"/>
  <c r="J122" i="8" s="1"/>
  <c r="J121" i="8" s="1"/>
  <c r="J120" i="8" s="1"/>
  <c r="J109" i="8" s="1"/>
  <c r="J108" i="8" s="1"/>
  <c r="J84" i="8" s="1"/>
  <c r="J83" i="8" s="1"/>
  <c r="J82" i="8" s="1"/>
  <c r="J75" i="8" s="1"/>
  <c r="J74" i="8" s="1"/>
  <c r="J60" i="8" s="1"/>
  <c r="J59" i="8" s="1"/>
  <c r="J58" i="8" s="1"/>
  <c r="J50" i="8" s="1"/>
  <c r="J49" i="8" s="1"/>
  <c r="J40" i="8" s="1"/>
  <c r="J39" i="8" s="1"/>
  <c r="J24" i="8" s="1"/>
  <c r="J23" i="8" s="1"/>
  <c r="J22" i="8" s="1"/>
  <c r="J21" i="8" s="1"/>
  <c r="J14" i="8" s="1"/>
  <c r="J13" i="8" s="1"/>
  <c r="J12" i="8" s="1"/>
  <c r="J11" i="8" s="1"/>
  <c r="J10" i="8" s="1"/>
  <c r="J114" i="5"/>
  <c r="J57" i="5"/>
  <c r="J33" i="5"/>
  <c r="J94" i="5"/>
  <c r="J78" i="5"/>
  <c r="J103" i="5"/>
  <c r="J40" i="5"/>
  <c r="J77" i="5"/>
  <c r="J45" i="5"/>
  <c r="J115" i="5"/>
  <c r="J82" i="5"/>
  <c r="J63" i="5"/>
  <c r="J107" i="5"/>
  <c r="J88" i="5"/>
  <c r="J44" i="5"/>
  <c r="I7" i="19" l="1"/>
  <c r="I7" i="3"/>
  <c r="I13" i="3" s="1"/>
  <c r="I136" i="19" l="1"/>
  <c r="I132" i="19"/>
  <c r="I104" i="19"/>
  <c r="I133" i="19"/>
  <c r="I102" i="19"/>
  <c r="I137" i="19"/>
  <c r="I138" i="19"/>
  <c r="I134" i="19"/>
  <c r="J133" i="19" s="1"/>
  <c r="I106" i="19"/>
  <c r="I100" i="19"/>
  <c r="I135" i="19"/>
  <c r="I107" i="19"/>
  <c r="I140" i="19"/>
  <c r="I131" i="19"/>
  <c r="I88" i="19"/>
  <c r="I83" i="19"/>
  <c r="I98" i="19"/>
  <c r="I90" i="19"/>
  <c r="I80" i="19"/>
  <c r="I91" i="19"/>
  <c r="I81" i="19"/>
  <c r="I79" i="19"/>
  <c r="I99" i="19"/>
  <c r="I87" i="19"/>
  <c r="I85" i="19"/>
  <c r="I74" i="19"/>
  <c r="I70" i="19"/>
  <c r="I76" i="19"/>
  <c r="I67" i="19"/>
  <c r="I72" i="19"/>
  <c r="I68" i="19"/>
  <c r="I73" i="19"/>
  <c r="I69" i="19"/>
  <c r="I71" i="19"/>
  <c r="J70" i="19" s="1"/>
  <c r="I42" i="19"/>
  <c r="I38" i="19"/>
  <c r="I21" i="19"/>
  <c r="I15" i="19"/>
  <c r="I27" i="19"/>
  <c r="I43" i="19"/>
  <c r="I34" i="19"/>
  <c r="I26" i="19"/>
  <c r="I16" i="19"/>
  <c r="I12" i="19"/>
  <c r="I17" i="19"/>
  <c r="J16" i="19" s="1"/>
  <c r="I36" i="19"/>
  <c r="I19" i="19"/>
  <c r="I40" i="19"/>
  <c r="I35" i="19"/>
  <c r="I23" i="19"/>
  <c r="I24" i="19"/>
  <c r="I12" i="3"/>
  <c r="J12" i="3" s="1"/>
  <c r="I11" i="3"/>
  <c r="I14" i="3"/>
  <c r="J13" i="3" s="1"/>
  <c r="G28" i="2"/>
  <c r="G22" i="2"/>
  <c r="G21" i="2"/>
  <c r="J68" i="19" l="1"/>
  <c r="J80" i="19"/>
  <c r="J34" i="19"/>
  <c r="J42" i="19"/>
  <c r="J135" i="19"/>
  <c r="J72" i="19"/>
  <c r="J90" i="19"/>
  <c r="J132" i="19"/>
  <c r="J14" i="3"/>
  <c r="J35" i="19"/>
  <c r="J71" i="19"/>
  <c r="J73" i="19"/>
  <c r="J99" i="19"/>
  <c r="J136" i="19"/>
  <c r="J131" i="19"/>
  <c r="J11" i="3"/>
  <c r="J23" i="19"/>
  <c r="J15" i="19"/>
  <c r="J26" i="19"/>
  <c r="J67" i="19"/>
  <c r="J69" i="19"/>
  <c r="J98" i="19"/>
  <c r="J79" i="19"/>
  <c r="J87" i="19"/>
  <c r="J134" i="19"/>
  <c r="J137" i="19"/>
  <c r="J106" i="19"/>
  <c r="J140" i="19"/>
  <c r="J139" i="19" s="1"/>
  <c r="J138" i="19" s="1"/>
  <c r="G24" i="2"/>
  <c r="G19" i="2"/>
  <c r="G13" i="2"/>
  <c r="J130" i="19" l="1"/>
  <c r="I7" i="2" l="1"/>
  <c r="I23" i="2" s="1"/>
  <c r="J23" i="2" s="1"/>
  <c r="F7" i="1"/>
  <c r="I29" i="2" l="1"/>
  <c r="I30" i="2"/>
  <c r="I28" i="2"/>
  <c r="I27" i="2"/>
  <c r="I21" i="2"/>
  <c r="J21" i="2" s="1"/>
  <c r="I24" i="2"/>
  <c r="I25" i="2"/>
  <c r="I26" i="2"/>
  <c r="I15" i="2"/>
  <c r="I12" i="2"/>
  <c r="J12" i="2" s="1"/>
  <c r="I19" i="2"/>
  <c r="J19" i="2" s="1"/>
  <c r="I16" i="2"/>
  <c r="I20" i="2"/>
  <c r="J20" i="2" s="1"/>
  <c r="I17" i="2"/>
  <c r="I13" i="2"/>
  <c r="I14" i="2"/>
  <c r="J29" i="2" l="1"/>
  <c r="J14" i="2"/>
  <c r="J16" i="2"/>
  <c r="J24" i="2"/>
  <c r="J28" i="2"/>
  <c r="J26" i="2"/>
  <c r="J27" i="2"/>
  <c r="J25" i="2"/>
  <c r="J30" i="2"/>
  <c r="J13" i="2"/>
  <c r="J15" i="2"/>
  <c r="J17" i="2" l="1"/>
  <c r="J11" i="2" s="1"/>
  <c r="I22" i="2"/>
  <c r="J22" i="2" s="1"/>
  <c r="J18" i="2" s="1"/>
  <c r="J12" i="6"/>
  <c r="J11" i="6" s="1"/>
  <c r="I15" i="6"/>
  <c r="J15" i="6" s="1"/>
  <c r="J14" i="6"/>
  <c r="C15" i="1"/>
  <c r="E14" i="17" s="1"/>
  <c r="I15" i="17" s="1"/>
  <c r="G20" i="16"/>
  <c r="I8" i="10" l="1"/>
  <c r="I8" i="6"/>
  <c r="I22" i="6" s="1"/>
  <c r="J22" i="6" s="1"/>
  <c r="J21" i="6" s="1"/>
  <c r="J20" i="6" s="1"/>
  <c r="J18" i="6" s="1"/>
  <c r="J17" i="6" s="1"/>
  <c r="J13" i="6" s="1"/>
  <c r="J10" i="6" s="1"/>
  <c r="C14" i="1" s="1"/>
  <c r="I8" i="5"/>
  <c r="I8" i="3"/>
  <c r="I8" i="19"/>
  <c r="I8" i="2"/>
  <c r="F8" i="1"/>
  <c r="J15" i="17"/>
  <c r="N15" i="17"/>
  <c r="J10" i="2"/>
  <c r="E4" i="17" s="1"/>
  <c r="K15" i="17"/>
  <c r="L15" i="17"/>
  <c r="M15" i="17"/>
  <c r="I16" i="3" l="1"/>
  <c r="J16" i="3" s="1"/>
  <c r="I15" i="3"/>
  <c r="J15" i="3" s="1"/>
  <c r="I74" i="10"/>
  <c r="J74" i="10" s="1"/>
  <c r="I58" i="10"/>
  <c r="J58" i="10" s="1"/>
  <c r="I42" i="10"/>
  <c r="J42" i="10" s="1"/>
  <c r="I67" i="10"/>
  <c r="I30" i="10"/>
  <c r="J30" i="10" s="1"/>
  <c r="I71" i="10"/>
  <c r="J71" i="10" s="1"/>
  <c r="I34" i="10"/>
  <c r="J34" i="10" s="1"/>
  <c r="I76" i="10"/>
  <c r="I60" i="10"/>
  <c r="J60" i="10" s="1"/>
  <c r="I44" i="10"/>
  <c r="I77" i="10"/>
  <c r="I53" i="10"/>
  <c r="J53" i="10" s="1"/>
  <c r="I59" i="10"/>
  <c r="J59" i="10" s="1"/>
  <c r="I45" i="10"/>
  <c r="J45" i="10" s="1"/>
  <c r="I78" i="10"/>
  <c r="I62" i="10"/>
  <c r="I46" i="10"/>
  <c r="I75" i="10"/>
  <c r="I47" i="10"/>
  <c r="I79" i="10"/>
  <c r="I43" i="10"/>
  <c r="I80" i="10"/>
  <c r="I64" i="10"/>
  <c r="I48" i="10"/>
  <c r="J47" i="10" s="1"/>
  <c r="I81" i="10"/>
  <c r="I65" i="10"/>
  <c r="I86" i="10"/>
  <c r="I70" i="10"/>
  <c r="J70" i="10" s="1"/>
  <c r="I87" i="10"/>
  <c r="I57" i="10"/>
  <c r="J57" i="10" s="1"/>
  <c r="I61" i="10"/>
  <c r="J61" i="10" s="1"/>
  <c r="I56" i="10"/>
  <c r="J56" i="10" s="1"/>
  <c r="I73" i="10"/>
  <c r="I82" i="10"/>
  <c r="I66" i="10"/>
  <c r="J66" i="10" s="1"/>
  <c r="I50" i="10"/>
  <c r="I83" i="10"/>
  <c r="I55" i="10"/>
  <c r="J55" i="10" s="1"/>
  <c r="I41" i="10"/>
  <c r="J41" i="10" s="1"/>
  <c r="I51" i="10"/>
  <c r="I49" i="10"/>
  <c r="I68" i="10"/>
  <c r="I52" i="10"/>
  <c r="I85" i="10"/>
  <c r="J85" i="10" s="1"/>
  <c r="I69" i="10"/>
  <c r="I54" i="10"/>
  <c r="J54" i="10" s="1"/>
  <c r="I63" i="10"/>
  <c r="I72" i="10"/>
  <c r="I40" i="10"/>
  <c r="J40" i="10" s="1"/>
  <c r="I116" i="19"/>
  <c r="I117" i="19"/>
  <c r="I126" i="19"/>
  <c r="I110" i="19"/>
  <c r="I119" i="19"/>
  <c r="I94" i="19"/>
  <c r="J94" i="19" s="1"/>
  <c r="I57" i="19"/>
  <c r="J57" i="19" s="1"/>
  <c r="I62" i="19"/>
  <c r="I46" i="19"/>
  <c r="I59" i="19"/>
  <c r="I30" i="19"/>
  <c r="J30" i="19" s="1"/>
  <c r="I56" i="19"/>
  <c r="J56" i="19" s="1"/>
  <c r="I120" i="19"/>
  <c r="I121" i="19"/>
  <c r="J120" i="19" s="1"/>
  <c r="I113" i="19"/>
  <c r="I114" i="19"/>
  <c r="I115" i="19"/>
  <c r="I93" i="19"/>
  <c r="J93" i="19" s="1"/>
  <c r="I61" i="19"/>
  <c r="I45" i="19"/>
  <c r="I50" i="19"/>
  <c r="I63" i="19"/>
  <c r="I47" i="19"/>
  <c r="I60" i="19"/>
  <c r="I112" i="19"/>
  <c r="J112" i="19" s="1"/>
  <c r="I122" i="19"/>
  <c r="I127" i="19"/>
  <c r="I95" i="19"/>
  <c r="J95" i="19" s="1"/>
  <c r="I58" i="19"/>
  <c r="J58" i="19" s="1"/>
  <c r="I55" i="19"/>
  <c r="I52" i="19"/>
  <c r="I124" i="19"/>
  <c r="I129" i="19"/>
  <c r="J129" i="19" s="1"/>
  <c r="I125" i="19"/>
  <c r="I118" i="19"/>
  <c r="I123" i="19"/>
  <c r="J123" i="19" s="1"/>
  <c r="I96" i="19"/>
  <c r="I65" i="19"/>
  <c r="I49" i="19"/>
  <c r="I54" i="19"/>
  <c r="I32" i="19"/>
  <c r="I51" i="19"/>
  <c r="I64" i="19"/>
  <c r="J64" i="19" s="1"/>
  <c r="I48" i="19"/>
  <c r="J48" i="19" s="1"/>
  <c r="I128" i="19"/>
  <c r="J128" i="19" s="1"/>
  <c r="I109" i="19"/>
  <c r="J109" i="19" s="1"/>
  <c r="I111" i="19"/>
  <c r="I53" i="19"/>
  <c r="J53" i="19" s="1"/>
  <c r="I29" i="19"/>
  <c r="J29" i="19" s="1"/>
  <c r="I31" i="19"/>
  <c r="J31" i="19" s="1"/>
  <c r="I98" i="5"/>
  <c r="I72" i="5"/>
  <c r="J72" i="5" s="1"/>
  <c r="I99" i="5"/>
  <c r="I126" i="5"/>
  <c r="I144" i="5"/>
  <c r="I124" i="5"/>
  <c r="I125" i="5"/>
  <c r="I97" i="5"/>
  <c r="J97" i="5" s="1"/>
  <c r="I48" i="5"/>
  <c r="J48" i="5" s="1"/>
  <c r="I100" i="5"/>
  <c r="J100" i="5" s="1"/>
  <c r="I50" i="5"/>
  <c r="I143" i="5"/>
  <c r="J143" i="5" s="1"/>
  <c r="I123" i="5"/>
  <c r="J123" i="5" s="1"/>
  <c r="I128" i="5"/>
  <c r="J128" i="5" s="1"/>
  <c r="I150" i="5"/>
  <c r="J150" i="5" s="1"/>
  <c r="I24" i="5"/>
  <c r="J24" i="5" s="1"/>
  <c r="I49" i="5"/>
  <c r="J49" i="5" s="1"/>
  <c r="I73" i="5"/>
  <c r="J73" i="5" s="1"/>
  <c r="I26" i="5"/>
  <c r="I25" i="5"/>
  <c r="J25" i="5" s="1"/>
  <c r="I74" i="5"/>
  <c r="J74" i="5" s="1"/>
  <c r="I146" i="5"/>
  <c r="J146" i="5" s="1"/>
  <c r="I75" i="5"/>
  <c r="I147" i="5"/>
  <c r="J147" i="5" s="1"/>
  <c r="I127" i="5"/>
  <c r="I145" i="5"/>
  <c r="I129" i="5"/>
  <c r="I101" i="5"/>
  <c r="I148" i="5"/>
  <c r="I149" i="5"/>
  <c r="X15" i="17"/>
  <c r="G5" i="17"/>
  <c r="F5" i="17"/>
  <c r="H5" i="17"/>
  <c r="E12" i="17"/>
  <c r="J78" i="10" l="1"/>
  <c r="J75" i="10"/>
  <c r="J125" i="19"/>
  <c r="J50" i="10"/>
  <c r="J82" i="10"/>
  <c r="J10" i="3"/>
  <c r="C11" i="1" s="1"/>
  <c r="E6" i="17" s="1"/>
  <c r="T7" i="17" s="1"/>
  <c r="T19" i="17" s="1"/>
  <c r="J124" i="19"/>
  <c r="J46" i="10"/>
  <c r="J126" i="5"/>
  <c r="J127" i="5"/>
  <c r="J51" i="19"/>
  <c r="J52" i="19"/>
  <c r="J46" i="19"/>
  <c r="J47" i="19"/>
  <c r="J148" i="5"/>
  <c r="J149" i="5"/>
  <c r="J144" i="5"/>
  <c r="J145" i="5"/>
  <c r="J59" i="19"/>
  <c r="J60" i="19"/>
  <c r="J68" i="10"/>
  <c r="J69" i="10"/>
  <c r="J48" i="10"/>
  <c r="J49" i="10"/>
  <c r="J72" i="10"/>
  <c r="J73" i="10"/>
  <c r="J86" i="10"/>
  <c r="J87" i="10"/>
  <c r="J80" i="10"/>
  <c r="J81" i="10"/>
  <c r="J113" i="19"/>
  <c r="J61" i="19"/>
  <c r="J110" i="19"/>
  <c r="J111" i="19"/>
  <c r="J126" i="19"/>
  <c r="J127" i="19"/>
  <c r="J124" i="5"/>
  <c r="J125" i="5"/>
  <c r="J98" i="5"/>
  <c r="J99" i="5"/>
  <c r="J49" i="19"/>
  <c r="J50" i="19"/>
  <c r="J114" i="19"/>
  <c r="J115" i="19"/>
  <c r="J118" i="19"/>
  <c r="J119" i="19"/>
  <c r="J64" i="10"/>
  <c r="J65" i="10"/>
  <c r="J43" i="10"/>
  <c r="J44" i="10"/>
  <c r="J45" i="19"/>
  <c r="J67" i="10"/>
  <c r="J79" i="10"/>
  <c r="J54" i="19"/>
  <c r="J55" i="19"/>
  <c r="J121" i="19"/>
  <c r="J122" i="19"/>
  <c r="J62" i="19"/>
  <c r="J63" i="19"/>
  <c r="J116" i="19"/>
  <c r="J117" i="19"/>
  <c r="J62" i="10"/>
  <c r="J63" i="10"/>
  <c r="J51" i="10"/>
  <c r="J52" i="10"/>
  <c r="J76" i="10"/>
  <c r="J77" i="10"/>
  <c r="X5" i="17"/>
  <c r="J13" i="17"/>
  <c r="M13" i="17"/>
  <c r="L13" i="17"/>
  <c r="K13" i="17"/>
  <c r="S7" i="17" l="1"/>
  <c r="S19" i="17" s="1"/>
  <c r="N7" i="17"/>
  <c r="K7" i="17"/>
  <c r="W7" i="17"/>
  <c r="W19" i="17" s="1"/>
  <c r="U7" i="17"/>
  <c r="M7" i="17"/>
  <c r="J7" i="17"/>
  <c r="F7" i="17"/>
  <c r="V7" i="17"/>
  <c r="H7" i="17"/>
  <c r="R7" i="17"/>
  <c r="R19" i="17" s="1"/>
  <c r="P7" i="17"/>
  <c r="L7" i="17"/>
  <c r="O7" i="17"/>
  <c r="Q7" i="17"/>
  <c r="G7" i="17"/>
  <c r="I7" i="17"/>
  <c r="J84" i="10"/>
  <c r="J83" i="10" s="1"/>
  <c r="J108" i="19"/>
  <c r="J107" i="19" s="1"/>
  <c r="J105" i="19" s="1"/>
  <c r="J104" i="19" s="1"/>
  <c r="J103" i="19" s="1"/>
  <c r="J102" i="19" s="1"/>
  <c r="J101" i="19" s="1"/>
  <c r="J100" i="19" s="1"/>
  <c r="J97" i="19" s="1"/>
  <c r="J96" i="19" s="1"/>
  <c r="J92" i="19" s="1"/>
  <c r="J91" i="19" s="1"/>
  <c r="J89" i="19" s="1"/>
  <c r="J88" i="19" s="1"/>
  <c r="J86" i="19" s="1"/>
  <c r="J85" i="19" s="1"/>
  <c r="J84" i="19" s="1"/>
  <c r="J83" i="19" s="1"/>
  <c r="J82" i="19" s="1"/>
  <c r="J81" i="19" s="1"/>
  <c r="J78" i="19" s="1"/>
  <c r="J77" i="19" s="1"/>
  <c r="J76" i="19" s="1"/>
  <c r="J75" i="19" s="1"/>
  <c r="J74" i="19" s="1"/>
  <c r="J66" i="19" s="1"/>
  <c r="J65" i="19" s="1"/>
  <c r="J44" i="19" s="1"/>
  <c r="J43" i="19" s="1"/>
  <c r="J41" i="19" s="1"/>
  <c r="J40" i="19" s="1"/>
  <c r="J39" i="19" s="1"/>
  <c r="J38" i="19" s="1"/>
  <c r="J37" i="19" s="1"/>
  <c r="J36" i="19" s="1"/>
  <c r="J33" i="19" s="1"/>
  <c r="J32" i="19" s="1"/>
  <c r="J28" i="19" s="1"/>
  <c r="J27" i="19" s="1"/>
  <c r="J25" i="19" s="1"/>
  <c r="J24" i="19" s="1"/>
  <c r="J22" i="19" s="1"/>
  <c r="J21" i="19" s="1"/>
  <c r="J20" i="19" s="1"/>
  <c r="J19" i="19" s="1"/>
  <c r="J18" i="19" s="1"/>
  <c r="J17" i="19" s="1"/>
  <c r="J14" i="19" s="1"/>
  <c r="J13" i="19" s="1"/>
  <c r="J12" i="19" s="1"/>
  <c r="J11" i="19" s="1"/>
  <c r="J10" i="19" s="1"/>
  <c r="C12" i="1" s="1"/>
  <c r="E8" i="17" s="1"/>
  <c r="J38" i="10"/>
  <c r="J37" i="10" s="1"/>
  <c r="J19" i="10" s="1"/>
  <c r="J18" i="10" s="1"/>
  <c r="J17" i="10" s="1"/>
  <c r="J16" i="10" s="1"/>
  <c r="J13" i="10" s="1"/>
  <c r="J12" i="10" s="1"/>
  <c r="J11" i="10" s="1"/>
  <c r="J10" i="10" s="1"/>
  <c r="C16" i="1" s="1"/>
  <c r="J142" i="5"/>
  <c r="J141" i="5" s="1"/>
  <c r="J140" i="5" s="1"/>
  <c r="J137" i="5" s="1"/>
  <c r="J136" i="5" s="1"/>
  <c r="J130" i="5" s="1"/>
  <c r="J129" i="5" s="1"/>
  <c r="J122" i="5" s="1"/>
  <c r="J121" i="5" s="1"/>
  <c r="J117" i="5" s="1"/>
  <c r="J116" i="5" s="1"/>
  <c r="J113" i="5" s="1"/>
  <c r="J112" i="5" s="1"/>
  <c r="J111" i="5" s="1"/>
  <c r="J110" i="5" s="1"/>
  <c r="J109" i="5" s="1"/>
  <c r="J106" i="5" s="1"/>
  <c r="J105" i="5" s="1"/>
  <c r="J102" i="5" s="1"/>
  <c r="J101" i="5" s="1"/>
  <c r="J96" i="5" s="1"/>
  <c r="J95" i="5" s="1"/>
  <c r="J91" i="5" s="1"/>
  <c r="J90" i="5" s="1"/>
  <c r="J87" i="5" s="1"/>
  <c r="J86" i="5" s="1"/>
  <c r="J85" i="5" s="1"/>
  <c r="J84" i="5" s="1"/>
  <c r="J83" i="5" s="1"/>
  <c r="J80" i="5" s="1"/>
  <c r="J79" i="5" s="1"/>
  <c r="J76" i="5" s="1"/>
  <c r="J75" i="5" s="1"/>
  <c r="J71" i="5" s="1"/>
  <c r="J70" i="5" s="1"/>
  <c r="J66" i="5" s="1"/>
  <c r="J65" i="5" s="1"/>
  <c r="J62" i="5" s="1"/>
  <c r="J61" i="5" s="1"/>
  <c r="J60" i="5" s="1"/>
  <c r="J59" i="5" s="1"/>
  <c r="J58" i="5" s="1"/>
  <c r="J55" i="5" s="1"/>
  <c r="J54" i="5" s="1"/>
  <c r="J51" i="5" s="1"/>
  <c r="J50" i="5" s="1"/>
  <c r="J47" i="5" s="1"/>
  <c r="J46" i="5" s="1"/>
  <c r="J42" i="5" s="1"/>
  <c r="J41" i="5" s="1"/>
  <c r="J38" i="5" s="1"/>
  <c r="J37" i="5" s="1"/>
  <c r="J36" i="5" s="1"/>
  <c r="J35" i="5" s="1"/>
  <c r="J34" i="5" s="1"/>
  <c r="J31" i="5" s="1"/>
  <c r="J30" i="5" s="1"/>
  <c r="J27" i="5" s="1"/>
  <c r="J26" i="5" s="1"/>
  <c r="J23" i="5" s="1"/>
  <c r="J22" i="5" s="1"/>
  <c r="J18" i="5" s="1"/>
  <c r="J17" i="5" s="1"/>
  <c r="J14" i="5" s="1"/>
  <c r="J13" i="5" s="1"/>
  <c r="J12" i="5" s="1"/>
  <c r="J11" i="5" s="1"/>
  <c r="J10" i="5" s="1"/>
  <c r="C13" i="1" s="1"/>
  <c r="X13" i="17"/>
  <c r="F20" i="17" l="1"/>
  <c r="X7" i="17"/>
  <c r="I9" i="17"/>
  <c r="H9" i="17"/>
  <c r="G9" i="17"/>
  <c r="E10" i="17"/>
  <c r="C17" i="1" l="1"/>
  <c r="H13" i="1" s="1"/>
  <c r="X9" i="17"/>
  <c r="G19" i="17"/>
  <c r="M19" i="17"/>
  <c r="N19" i="17"/>
  <c r="L19" i="17"/>
  <c r="P19" i="17"/>
  <c r="V19" i="17"/>
  <c r="Q19" i="17"/>
  <c r="U19" i="17"/>
  <c r="J11" i="17"/>
  <c r="K11" i="17"/>
  <c r="I11" i="17"/>
  <c r="E18" i="17"/>
  <c r="O19" i="17" l="1"/>
  <c r="O21" i="17" s="1"/>
  <c r="M21" i="17"/>
  <c r="N21" i="17"/>
  <c r="H16" i="1"/>
  <c r="H15" i="1"/>
  <c r="L21" i="17"/>
  <c r="I19" i="17"/>
  <c r="I21" i="17" s="1"/>
  <c r="H11" i="1"/>
  <c r="P21" i="17"/>
  <c r="H14" i="1"/>
  <c r="J19" i="17"/>
  <c r="J21" i="17" s="1"/>
  <c r="K19" i="17"/>
  <c r="K21" i="17" s="1"/>
  <c r="V21" i="17"/>
  <c r="H12" i="1"/>
  <c r="H10" i="1"/>
  <c r="G21" i="17"/>
  <c r="G20" i="17"/>
  <c r="U21" i="17"/>
  <c r="Q21" i="17"/>
  <c r="R21" i="17"/>
  <c r="W21" i="17"/>
  <c r="S21" i="17"/>
  <c r="T21" i="17"/>
  <c r="F21" i="17"/>
  <c r="F22" i="17" s="1"/>
  <c r="X11" i="17"/>
  <c r="H19" i="17"/>
  <c r="H21" i="17" s="1"/>
  <c r="H20" i="17" l="1"/>
  <c r="I20" i="17" s="1"/>
  <c r="J20" i="17" s="1"/>
  <c r="K20" i="17" s="1"/>
  <c r="L20" i="17" s="1"/>
  <c r="M20" i="17" s="1"/>
  <c r="N20" i="17" s="1"/>
  <c r="O20" i="17" s="1"/>
  <c r="P20" i="17" s="1"/>
  <c r="Q20" i="17" s="1"/>
  <c r="R20" i="17" s="1"/>
  <c r="S20" i="17" s="1"/>
  <c r="T20" i="17" s="1"/>
  <c r="U20" i="17" s="1"/>
  <c r="V20" i="17" s="1"/>
  <c r="W20" i="17" s="1"/>
  <c r="G22" i="17"/>
  <c r="H22" i="17" s="1"/>
  <c r="I22" i="17" s="1"/>
  <c r="J22" i="17" s="1"/>
  <c r="K22" i="17" s="1"/>
  <c r="L22" i="17" s="1"/>
  <c r="M22" i="17" s="1"/>
  <c r="N22" i="17" s="1"/>
  <c r="O22" i="17" s="1"/>
  <c r="P22" i="17" s="1"/>
  <c r="Q22" i="17" s="1"/>
  <c r="R22" i="17" s="1"/>
  <c r="S22" i="17" s="1"/>
  <c r="T22" i="17" s="1"/>
  <c r="U22" i="17" s="1"/>
  <c r="V22" i="17" s="1"/>
  <c r="W22" i="17" s="1"/>
</calcChain>
</file>

<file path=xl/sharedStrings.xml><?xml version="1.0" encoding="utf-8"?>
<sst xmlns="http://schemas.openxmlformats.org/spreadsheetml/2006/main" count="3080" uniqueCount="1155">
  <si>
    <t>Obra:</t>
  </si>
  <si>
    <t>Sistema de Abastecimento de Água</t>
  </si>
  <si>
    <t>PREFEITURA MUNICIPAL DE BAGRE</t>
  </si>
  <si>
    <t>Município:</t>
  </si>
  <si>
    <t>BAGRE - PA</t>
  </si>
  <si>
    <t xml:space="preserve">Local: </t>
  </si>
  <si>
    <t>Área Urbana</t>
  </si>
  <si>
    <t>Emp.</t>
  </si>
  <si>
    <t>PLANILHA DE ORÇAMENTO</t>
  </si>
  <si>
    <t>SINAPI (C. Des.)</t>
  </si>
  <si>
    <t>BDI MÃO-DE-OBRA/SERVIÇOS "S":</t>
  </si>
  <si>
    <t>BDI FORNECIMENTO DE INSUMO "I":</t>
  </si>
  <si>
    <t>ITEM</t>
  </si>
  <si>
    <t>DESCRIÇÃO</t>
  </si>
  <si>
    <t xml:space="preserve">PREÇO TOTAL </t>
  </si>
  <si>
    <t>Administração Local</t>
  </si>
  <si>
    <t>Captação Dois Poços</t>
  </si>
  <si>
    <t>Adutoras</t>
  </si>
  <si>
    <t>Estação de Tratamento de Água (ETA)</t>
  </si>
  <si>
    <t>TOTAL GERAL</t>
  </si>
  <si>
    <t>Notas:</t>
  </si>
  <si>
    <t>Ausência de Código de Preços</t>
  </si>
  <si>
    <t>2. Ausência de referências do Código SINAPI em muitos itens</t>
  </si>
  <si>
    <t>3. Mão-de-Obra para instalações não foram calculadas sobre 10% dos materiais</t>
  </si>
  <si>
    <t>TIPO</t>
  </si>
  <si>
    <t>DISCRIMINAÇÃO DOS SERVIÇOS</t>
  </si>
  <si>
    <t>UND.</t>
  </si>
  <si>
    <t>QUANT.</t>
  </si>
  <si>
    <t>PREÇO UNITÁRIO</t>
  </si>
  <si>
    <t>Preço Unitário com BDI (R$)</t>
  </si>
  <si>
    <t>PREÇO TOTAL (R$)</t>
  </si>
  <si>
    <t>1.1</t>
  </si>
  <si>
    <t>S</t>
  </si>
  <si>
    <t>1.2</t>
  </si>
  <si>
    <t>1.3</t>
  </si>
  <si>
    <t>M</t>
  </si>
  <si>
    <t>1.4</t>
  </si>
  <si>
    <t>un</t>
  </si>
  <si>
    <t/>
  </si>
  <si>
    <t>CÓDIGO</t>
  </si>
  <si>
    <t>PREÇO UNITÁRIO (R$)</t>
  </si>
  <si>
    <t>2.1</t>
  </si>
  <si>
    <t>-</t>
  </si>
  <si>
    <t>2.2</t>
  </si>
  <si>
    <t>CPU</t>
  </si>
  <si>
    <t>UN</t>
  </si>
  <si>
    <t>3.1</t>
  </si>
  <si>
    <t>3.1.1</t>
  </si>
  <si>
    <t>m³</t>
  </si>
  <si>
    <t>I</t>
  </si>
  <si>
    <t>4.1</t>
  </si>
  <si>
    <t>4.1.1</t>
  </si>
  <si>
    <t>4.1.2</t>
  </si>
  <si>
    <t>4.1.3</t>
  </si>
  <si>
    <t>4.1.3.1</t>
  </si>
  <si>
    <t>4.3.1.1</t>
  </si>
  <si>
    <t>4.3.2.1</t>
  </si>
  <si>
    <t>COTAÇÃO</t>
  </si>
  <si>
    <t>BLOCO DE ANCORAGEM</t>
  </si>
  <si>
    <t>5.1</t>
  </si>
  <si>
    <t>5.1.1</t>
  </si>
  <si>
    <t>5.2</t>
  </si>
  <si>
    <t>SERVIÇOS</t>
  </si>
  <si>
    <t>5.2.1</t>
  </si>
  <si>
    <t>5.2.2</t>
  </si>
  <si>
    <t>5.2.3</t>
  </si>
  <si>
    <t>H</t>
  </si>
  <si>
    <t>Pintura de paredes com tinta acrílica semi-brilho</t>
  </si>
  <si>
    <t>CJ</t>
  </si>
  <si>
    <t>7.1</t>
  </si>
  <si>
    <t>7.1.1</t>
  </si>
  <si>
    <t>Acessórios/Esquadrias</t>
  </si>
  <si>
    <t>7.1.4.1</t>
  </si>
  <si>
    <t>7.1.4.3</t>
  </si>
  <si>
    <t>7.1.4.4</t>
  </si>
  <si>
    <t>7.1.5.1</t>
  </si>
  <si>
    <t>7.1.6.1</t>
  </si>
  <si>
    <t>7.1.6.2</t>
  </si>
  <si>
    <t>7.2</t>
  </si>
  <si>
    <t>7.2.1</t>
  </si>
  <si>
    <t>7.2.1.1</t>
  </si>
  <si>
    <t>7.2.1.2</t>
  </si>
  <si>
    <t>7.2.1.3</t>
  </si>
  <si>
    <t>7.2.1.4</t>
  </si>
  <si>
    <t>7.2.1.5</t>
  </si>
  <si>
    <t>7.2.1.6</t>
  </si>
  <si>
    <t>7.2.1.7</t>
  </si>
  <si>
    <t>7.2.1.8</t>
  </si>
  <si>
    <t>7.2.1.9</t>
  </si>
  <si>
    <t>7.2.1.10</t>
  </si>
  <si>
    <t>7.2.2</t>
  </si>
  <si>
    <t>SERVIÇOS PRELIMINARES</t>
  </si>
  <si>
    <t>M²</t>
  </si>
  <si>
    <t>M³</t>
  </si>
  <si>
    <t>MOVIMENTO DE TERRA</t>
  </si>
  <si>
    <t>SERVIÇOS DIVERSOS</t>
  </si>
  <si>
    <t>UN.</t>
  </si>
  <si>
    <t>COMPOSIÇÃO DO BDI</t>
  </si>
  <si>
    <t>BDI MÃO DE OBRA/SERVIÇOS</t>
  </si>
  <si>
    <t>BDI FORNECIMENTO DE INSUMOS</t>
  </si>
  <si>
    <t>CUSTOS INDIRETOS</t>
  </si>
  <si>
    <t>Administração Central</t>
  </si>
  <si>
    <t>Garantias e seguros</t>
  </si>
  <si>
    <t>Riscos</t>
  </si>
  <si>
    <t>Despesas Financeiras</t>
  </si>
  <si>
    <t>TRIBUTOS</t>
  </si>
  <si>
    <t>Cofins</t>
  </si>
  <si>
    <t>Pis/Pasep</t>
  </si>
  <si>
    <t>2.3</t>
  </si>
  <si>
    <t>ISS</t>
  </si>
  <si>
    <t>2.4</t>
  </si>
  <si>
    <t>CPRB (Lei 12.546/2011)</t>
  </si>
  <si>
    <t>LUCRO</t>
  </si>
  <si>
    <t>Lucro bruto</t>
  </si>
  <si>
    <t>BDI</t>
  </si>
  <si>
    <t>CÁLCULO DO BDI</t>
  </si>
  <si>
    <t>Onde:</t>
  </si>
  <si>
    <r>
      <rPr>
        <i/>
        <sz val="11"/>
        <color rgb="FF000000"/>
        <rFont val="Calibri"/>
        <family val="2"/>
      </rPr>
      <t xml:space="preserve">A </t>
    </r>
    <r>
      <rPr>
        <i/>
        <sz val="11"/>
        <color rgb="FF000000"/>
        <rFont val="Times New Roman"/>
        <family val="1"/>
      </rPr>
      <t>→</t>
    </r>
    <r>
      <rPr>
        <i/>
        <sz val="11"/>
        <color rgb="FF000000"/>
        <rFont val="Calibri"/>
        <family val="2"/>
      </rPr>
      <t xml:space="preserve"> Custos Indiretos</t>
    </r>
  </si>
  <si>
    <r>
      <rPr>
        <i/>
        <sz val="11"/>
        <color rgb="FF000000"/>
        <rFont val="Calibri"/>
        <family val="2"/>
      </rPr>
      <t xml:space="preserve">B </t>
    </r>
    <r>
      <rPr>
        <i/>
        <sz val="11"/>
        <color rgb="FF000000"/>
        <rFont val="Times New Roman"/>
        <family val="1"/>
      </rPr>
      <t>→</t>
    </r>
    <r>
      <rPr>
        <i/>
        <sz val="11"/>
        <color rgb="FF000000"/>
        <rFont val="Calibri"/>
        <family val="2"/>
      </rPr>
      <t xml:space="preserve"> Lucro</t>
    </r>
  </si>
  <si>
    <r>
      <rPr>
        <i/>
        <sz val="11"/>
        <color rgb="FF000000"/>
        <rFont val="Calibri"/>
        <family val="2"/>
      </rPr>
      <t xml:space="preserve">C </t>
    </r>
    <r>
      <rPr>
        <i/>
        <sz val="11"/>
        <color rgb="FF000000"/>
        <rFont val="Times New Roman"/>
        <family val="1"/>
      </rPr>
      <t>→</t>
    </r>
    <r>
      <rPr>
        <i/>
        <sz val="11"/>
        <color rgb="FF000000"/>
        <rFont val="Calibri"/>
        <family val="2"/>
      </rPr>
      <t xml:space="preserve"> Tributos</t>
    </r>
  </si>
  <si>
    <t xml:space="preserve">  LOCALIDADE: BAGRE</t>
  </si>
  <si>
    <t>Quantidade</t>
  </si>
  <si>
    <t>Valor Total (R$)</t>
  </si>
  <si>
    <t>MÊS 1</t>
  </si>
  <si>
    <t>MÊS 2</t>
  </si>
  <si>
    <t>MÊS 3</t>
  </si>
  <si>
    <t>MÊS 4</t>
  </si>
  <si>
    <t>MÊS 5</t>
  </si>
  <si>
    <t>MÊS 6</t>
  </si>
  <si>
    <t>MÊS 7</t>
  </si>
  <si>
    <t>MÊS 8</t>
  </si>
  <si>
    <t>MÊS 9</t>
  </si>
  <si>
    <t>MÊS 10</t>
  </si>
  <si>
    <t>MÊS 11</t>
  </si>
  <si>
    <t>MÊS 12</t>
  </si>
  <si>
    <t>TOTAL</t>
  </si>
  <si>
    <t>ADMINISTRAÇÃO LOCAL</t>
  </si>
  <si>
    <t>CAPTAÇÃO</t>
  </si>
  <si>
    <t>ADUTORAS</t>
  </si>
  <si>
    <t>ESTAÇÃO DE TRATAMENTO DE ÁGUA</t>
  </si>
  <si>
    <t>RESERVATÓRIO APOIADO (500M³)</t>
  </si>
  <si>
    <t>RESERVATÓRIO ELEVADO (227M³)</t>
  </si>
  <si>
    <t>TOTAL SIMPLES</t>
  </si>
  <si>
    <t>TOTAL ACUMULADO</t>
  </si>
  <si>
    <t>% SIMPLES</t>
  </si>
  <si>
    <t>% ACUMULADO</t>
  </si>
  <si>
    <t>LIMPEZA MECANIZADA DE CAMADA VEGETAL, VEGETAÇÃO E PEQUENAS ÁRVORES (DIÂMETRO DE TRONCO MENOR QUE 0,20 M), COM TRATOR DE ESTEIRAS.AF_05/2018</t>
  </si>
  <si>
    <t>CERCA COM MOURÕES DE CONCRETO, RETO, H=2,30 M, ESPAÇAMENTO DE 2,5 M, CRAVADOS 0,5 M, COM 4 FIOS DE ARAME DE AÇO OVALADO 15X17 - FORNECIMENTO E INSTALAÇÃO. AF_05/2020</t>
  </si>
  <si>
    <t>PREPARO DE FUNDO DE VALA COM LARGURA MENOR QUE 1,5 M, COM CAMADA DE AREIA, LANÇAMENTO MANUAL. AF_08/2020</t>
  </si>
  <si>
    <t>CONCRETO FCK = 20MPA, TRAÇO 1:2,7:3 (EM MASSA SECA DE CIMENTO/ AREIA MÉDIA/ BRITA 1) - PREPARO MECÂNICO COM BETONEIRA 400 L. AF_05/2021</t>
  </si>
  <si>
    <t>LOCACAO CONVENCIONAL DE OBRA, UTILIZANDO GABARITO DE TÁBUAS CORRIDAS PONTALETADAS A CADA 2,00M - 2 UTILIZAÇÕES. AF_10/2018</t>
  </si>
  <si>
    <t>LOCAÇÃO DE REDE DE ÁGUA OU ESGOTO. AF_10/2018</t>
  </si>
  <si>
    <t>ESCAVAÇÃO MECANIZADA DE VALA COM PROF. ATÉ 1,5 M(MÉDIA ENTRE MONTANTE E JUSANTE/UMA COMPOSIÇÃO POR TRECHO), COM ESCAVADEIRA HIDRÁULICA (0,8 M3), LARG. DE 1,5M A 2,5 M, EM SOLO DE 1A CATEGORIA, LOCAIS COM BAIXO NÍVEL DE INTERFERÊNCIA. AF_02/2021</t>
  </si>
  <si>
    <t>CARGA, DESCARGA, TRANSPORTE ATÉ 5KM E ESPALHAMENTO DE BOTA FORA</t>
  </si>
  <si>
    <t>M³xKM</t>
  </si>
  <si>
    <t>TRANSPORTE</t>
  </si>
  <si>
    <t>FORNECIMENTO DE MATERIAL</t>
  </si>
  <si>
    <t>TUBO PVC DEFOFO, JEI, 1 MPA, DN 100 MM, PARA REDE DE AGUA (NBR 7665)</t>
  </si>
  <si>
    <t>PÇ</t>
  </si>
  <si>
    <t>REDUÇÃO CONCÊNTRICA COM FLANGES PN10 DN200X100MM</t>
  </si>
  <si>
    <t>MONTAGEM E ASSENTAMENTO DE TUBOS, CONEXÕES, VÁLVULAS E ACESSÓRIOS</t>
  </si>
  <si>
    <t>ASSENTAMENTO DE TUBO DE PVC DEFOFO OU PRFV OU RPVC PARA REDE DE ÁGUA, DN 100 MM, JUNTA ELÁSTICA INTEGRADA, INSTALADO EM LOCAL COM NÍVEL BAIXO DE INTERFERÊNCIAS (NÃO INCLUI FORNECIMENTO). AF_11/2017</t>
  </si>
  <si>
    <t>KG</t>
  </si>
  <si>
    <t>ADUTORA FILTRO RAP Ø300</t>
  </si>
  <si>
    <t>ADUTORA POÇO P2 - Ø100</t>
  </si>
  <si>
    <t>ADUTORA POÇO P1 - Ø100MM</t>
  </si>
  <si>
    <t>TUBO PVC DEFOFO, JEI, 1 MPA, DN 300 MM, PARA REDE DE AGUA (NBR 7665)</t>
  </si>
  <si>
    <t>CURVA 90° FoFo COM FLANGES PN10 DN 300MM</t>
  </si>
  <si>
    <t>CURVA 90° JE F°F° DN 300MM</t>
  </si>
  <si>
    <t>CURVA 90° JE F°F° DN 100MM</t>
  </si>
  <si>
    <t>ADUTORA - EEAT FILTRO</t>
  </si>
  <si>
    <t>TUBO PVC DEFOFO, JEI, 1 MPA, DN 250 MM, PARA REDE DE AGUA (NBR 7665)</t>
  </si>
  <si>
    <t>CURVA 90° JE F°F° DN 250MM</t>
  </si>
  <si>
    <t>CURVA 90° FoFo COM FLANGES PN10 DN 250MM</t>
  </si>
  <si>
    <t>CURVA 45° JE F°F° DN 250MM</t>
  </si>
  <si>
    <t>TUBO FLANGE E PONTA PN10 L=1,60M DN250MM</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</si>
  <si>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</si>
  <si>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</si>
  <si>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ADUTORA - EEAT REL E BY PASS Ø150</t>
  </si>
  <si>
    <t>TUBO PVC DEFOFO, JEI, 1 MPA, DN 150 MM, PARA REDE DE AGUA (NBR 7665)</t>
  </si>
  <si>
    <t>VÁLVULA GAVETA COM FLANGES PN10 E CUNHA DE BORRACHA, CORPO CHATO E VOLANTE DN150</t>
  </si>
  <si>
    <t>TE COM BOLSAS E JE DN150MM</t>
  </si>
  <si>
    <t>TE COM BOLSAS E JE DN200X150MM</t>
  </si>
  <si>
    <t>CURVA 90° COM BOLSAS E JE DN150MM</t>
  </si>
  <si>
    <t>ARMAÇÃO UTILIZANDO AÇO CA-25 DE 6,3 MM - MONTAGEM. AF_12/2015</t>
  </si>
  <si>
    <t>MONTAGEM E DESMONTAGEM DE FÔRMA DE PILARES RETANGULARES E ESTRUTURAS SIMILARES, PÉ-DIREITO SIMPLES, EM CHAPA DE MADEIRA COMPENSADA RESINADA,6 UTILIZAÇÕES. AF_09/2020</t>
  </si>
  <si>
    <t>ESTRUTURAS E FUNDAÇÕES</t>
  </si>
  <si>
    <t>ESCAVAÇÃO MANUAL DE VALA COM PROFUNDIDADE MENOR OU IGUAL A 1,30 M. AF_02/2021</t>
  </si>
  <si>
    <t>ATERRO MANUAL DE VALAS COM AREIA PARA ATERRO E COMPACTAÇÃO MECANIZADA. AF_05/2016</t>
  </si>
  <si>
    <t>REATERRO MECANIZADO DE VALA COM RETROESCAVADEIRA (CAPACIDADE DA CAÇAMBA DA RETRO: 0,26 M³ / POTÊNCIA: 88 HP), LARGURA ATÉ 0,8 M, PROFUNDIDADE ATÉ 1,5 M, COM SOLO DE 1ª CATEGORIA EM LOCAIS COM BAIXO NÍVEL DE INTERFERÊNCIA. AF_04/2016</t>
  </si>
  <si>
    <t>EXECUÇÃO E COMPACTAÇÃO DE ATERRO COM SOLO PREDOMINANTEMENTE ARGILOSO EXCLUSIVE SOLO, ESCAVAÇÃO, CARGA E TRANSPORTE. AF_11/2019</t>
  </si>
  <si>
    <t>CARGA, MANOBRA E DESCARGA DE SOLOS E MATERIAIS GRANULARES EM CAMINHÃO BASCULANTE 6 M³ - CARGA COM PÁ CARREGADEIRA (CAÇAMBA DE 1,7 A 2,8 M³ /128 HP) E DESCARGA LIVRE. AF_07/2020</t>
  </si>
  <si>
    <t>ETA COM AERADOR E FILTROS Ø3,50M</t>
  </si>
  <si>
    <t>CONCRETO MAGRO PARA LASTRO, TRAÇO 1:4,5:4,5 (EM MASSA SECA DE CIMENTO/AREIA MÉDIA/ BRITA 1) - PREPARO MECÂNICO COM BETONEIRA 400 L. AF_05/2021</t>
  </si>
  <si>
    <t>CONCRETO FCK = 30MPA, TRAÇO 1:1,9:2,3 (EM MASSA SECA DE CIMENTO/ AREIA MÉDIA/ SEIXO ROLADO) - PREPARO MECÂNICO COM BETONEIRA 400 L. AF_05/2021</t>
  </si>
  <si>
    <t>CONCRETO FCK = 15MPA, TRAÇO 1:3,4:3,4 (EM MASSA SECA DE CIMENTO/ AREIA MÉDIA/ SEIXO ROLADO) - PREPARO MECÂNICO COM BETONEIRA 400 L. AF_05/2021</t>
  </si>
  <si>
    <t>CONCRETO CICLÓPICO FCK = 15MPA, 30% PEDRA DE MÃO EM VOLUME REAL, INCLUSIVE LANÇAMENTO. AF_05/2021</t>
  </si>
  <si>
    <t>ARMAÇÃO DE BLOCO, VIGA BALDRAME OU SAPATA UTILIZANDO AÇO CA-50 DE 10 M- MONTAGEM. AF_06/2017</t>
  </si>
  <si>
    <t>ALVENARIA DE BLOCOS DE CONCRETO ESTRUTURAL 14X19X39 CM, (ESPESSURA 14CM), FBK = 4,5 MPA, PARA PAREDES COM ÁREA LÍQUIDA MENOR QUE 6M², SEM VÃOS, UTILIZANDO PALHETA. AF_12/2014</t>
  </si>
  <si>
    <t>5.2.4</t>
  </si>
  <si>
    <t>5.3</t>
  </si>
  <si>
    <t>5.3.1</t>
  </si>
  <si>
    <t>5.3.2</t>
  </si>
  <si>
    <t>5.4</t>
  </si>
  <si>
    <t>5.4.1</t>
  </si>
  <si>
    <t>5.6</t>
  </si>
  <si>
    <t>5.6.1</t>
  </si>
  <si>
    <t>ESCAVAÇÃO MECANIZADA DE VALA COM PROFUNDIDADE MAIOR QUE 1,5 M ATÉ 3,0M (MÉDIA ENTRE MONTANTE E JUSANTE/UMA COMPOSIÇÃO POR TRECHO) COM RETROESCAVADEIRA (CAPACIDADE DA CAÇAMBA DA RETRO: 0,26 M3 / POTÊNCIA: 88 HP), LARGURA MENOR QUE 0,8 M, EM SOLO DE1A CATEGORIA, LOCAIS COM BAIXO NÍVEL DE INTERFERÊNCIA. AF_02/2021</t>
  </si>
  <si>
    <t>ESCAVAÇÃO MECANIZADA DE VALA COM PROF. MAIOR QUE 1,5 M ATÉ 3,0 M (MÉDIA ENTRE MONTANTE E JUSANTE/UMA COMPOSIÇÃO POR TRECHO) COM RETROESCAVADEIRA (0,26 M3/ 88 HP),LARG. MENOR QUE 0,8 M, EM SOLO DE 2ª CATEGORIA, EM LOCAIS COM BAIXO NÍVEL DE INTERFERÊNCIA.AF_02/2021</t>
  </si>
  <si>
    <t>REATERRO MANUAL DE VALAS COM COMPACTAÇÃO MECANIZADA. AF_04/2016</t>
  </si>
  <si>
    <t>PREPARO DE FUNDO DE VALA COM LARGURA MAIOR OU IGUAL A 1,5 M E MENOR QUE 2,5 M (ACERTO DO SOLO NATURAL). AF_08/2020</t>
  </si>
  <si>
    <t>ESTACA PRÉ-MOLDADA DE CONCRETO, SEÇÃO QUADRADA, CAPACIDADE DE 25 TONELADAS, INCLUSO EMENDA (EXCLUSIVE MOBILIZAÇÃO E DESMOBILIZAÇÃO). AF_12/2019</t>
  </si>
  <si>
    <t>MONTAGEM E DESMONTAGEM DE FÔRMA DE PILARES RETANGULARES E ESTRUTURAS SIMILARES, PÉ-DIREITO SIMPLES, EM CHAPA DE MADEIRA COMPENSADA RESINADA, 4 UTILIZAÇÕES. AF_09/2020</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</si>
  <si>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</si>
  <si>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</si>
  <si>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</si>
  <si>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8,0 MM, UTILIZADO EM LAJE. AF_12/2015</t>
  </si>
  <si>
    <t>CORTE E DOBRA DE AÇO CA-50, DIÂMETRO DE 10,0 MM, UTILIZADO EM ESTRUTURAS DIVERSAS, EXCETO LAJES. AF_12/2015</t>
  </si>
  <si>
    <t>CORTE E DOBRA DE AÇO CA-50, DIÂMETRO DE 10,0 MM, UTILIZADO EM LAJE. AF_12/2015</t>
  </si>
  <si>
    <t>CORTE E DOBRA DE AÇO CA-50, DIÂMETRO DE 12,5 MM, UTILIZADO EM ESTRUTURAS DIVERSAS, EXCETO LAJES. AF_12/2015</t>
  </si>
  <si>
    <t>CORTE E DOBRA DE AÇO CA-50, DIÂMETRO DE 12,5 MM, UTILIZADO EM LAJE. AF_12/2015</t>
  </si>
  <si>
    <t>CORTE E DOBRA DE AÇO CA-50, DIÂMETRO DE 16,0 MM, UTILIZADO EM ESTRUTURAS DIVERSAS, EXCETO LAJES. AF_12/2015</t>
  </si>
  <si>
    <t>CONCRETO FCK = 30MPA, TRAÇO 1:2,1:2,5 (EM MASSA SECA DE CIMENTO/ AREIA MÉDIA/ BRITA 1) - PREPARO MECÂNICO COM BETONEIRA 400 L. AF_05/2021</t>
  </si>
  <si>
    <t>IMPERMEABILIZAÇÃO DE SUPERFÍCIE COM ARGAMASSA POLIMÉRICA / MEMBRANA ACRÍLICA, 3 DEMÃOS. AF_06/2018</t>
  </si>
  <si>
    <t>7.3</t>
  </si>
  <si>
    <t>7.3.1</t>
  </si>
  <si>
    <t>7.4</t>
  </si>
  <si>
    <t>7.4.1</t>
  </si>
  <si>
    <t>7.4.2</t>
  </si>
  <si>
    <t>ALVENARIA DE VEDAÇÃO DE BLOCOS CERÂMICOS FURADOS NA VERTICAL DE 14X19X39CM (ESPESSURA 14CM) DE PAREDES COM ÁREA LÍQUIDA MENOR QUE 6M² SEM VÃOS E ARGAMASSA DE ASSENTAMENTO COM PREPARO EM BETONEIRA. AF_06/2014</t>
  </si>
  <si>
    <t>CHAPISCO APLICADO EM ALVENARIA (COM PRESENÇA DE VÃOS) E ESTRUTURAS DE CONCRETO DE FACHADA, COM COLHER DE PEDREIRO.  ARGAMASSA TRAÇO 1:3 COM PREPARO EM BETONEIRA 400L. AF_06/2014</t>
  </si>
  <si>
    <t>MASSA ÚNICA, PARA RECEBIMENTO DE PINTURA, EM ARGAMASSA TRAÇO 1:2:8, PREPARO MECÂNICO COM BETONEIRA 400L,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</si>
  <si>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MENOR QUE 5M2, ESPESSURA DE 20MM, COM EXECUÇÃO DE TALISCAS. AF_06/2014</t>
  </si>
  <si>
    <t>REVESTIMENTO CERÂMICO PARA PAREDES INTERNAS COM PLACAS TIPO ESMALTADA EXTRA DE DIMENSÕES 20X20 CM APLICADAS EM AMBIENTES DE ÁREA MENOR QUE 5 M² NA ALTURA INTEIRA DAS PAREDES. AF_06/2014</t>
  </si>
  <si>
    <t>PISO CIMENTADO, TRAÇO 1:3 (CIMENTO E AREIA), ACABAMENTO LISO, ESPESSURA 4,0 CM, PREPARO MECÂNICO DA ARGAMASSA. AF_09/2020</t>
  </si>
  <si>
    <t>ALVENARIAS, VEDAÇÕES, REVESTIMENTOS E COBERTURA</t>
  </si>
  <si>
    <t>TRAMA DE MADEIRA COMPOSTA POR TERÇAS PARA TELHADOS DE ATÉ 2 ÁGUAS PARA TELHA ONDULADA DE FIBROCIMENTO, METÁLICA, PLÁSTICA OU TERMOACÚSTICA, INCLUSO TRANSPORTE VERTICAL. AF_07/2019</t>
  </si>
  <si>
    <t>TELHAMENTO COM TELHA ONDULADA DE FIBROCIMENTO E = 6 MM, COM RECOBRIMENTO LATERAL DE 1 1/4 DE ONDA PARA TELHADO COM INCLINAÇÃO MÁXIMA DE 10°, COM ATÉ 2 ÁGUAS, INCLUSO IÇAMENTO. AF_07/2019</t>
  </si>
  <si>
    <t>TAMPAO FOFO SIMPLES COM BASE, CLASSE B125 CARGA MAX 12,5 T, REDONDO TAMPA 600MM, REDE PLUVIAL/ESGOTO</t>
  </si>
  <si>
    <t>PORTA DE FERRO, DE ABRIR, TIPO GRADE COM CHAPA, COM GUARNIÇÕES. AF_12/2019</t>
  </si>
  <si>
    <t>PORTAO DE CORRER EM GRADIL FIXO DE BARRA DE FERRO CHATA DE 3 X 1/4" NA VERTICAL, SEM REQUADRO, ACABAMENTO NATURAL, COM TRILHOS E ROLDANAS</t>
  </si>
  <si>
    <t>VASO SANITÁRIO SIFONADO COM CAIXA ACOPLADA LOUÇA BRANCA - FORNECIMENTO E INSTALAÇÃO. AF_01/2020</t>
  </si>
  <si>
    <t>LAVATÓRIO LOUÇA BRANCA COM COLUNA, 45 X 55CM OU EQUIVALENTE, PADRÃO MÉDIO - FORNECIMENTO E INSTALAÇÃO. AF_01/2020</t>
  </si>
  <si>
    <t>REVESTIMENTO CERÂMICO PARA PISO COM PLACAS TIPO ESMALTADA EXTRA DE DIMENSÕES 35X35 CM APLICADA EM AMBIENTES DE ÁREA MENOR QUE 5 M2. AF_06/2014</t>
  </si>
  <si>
    <t>(COMPOSIÇÃO REPRESENTATIVA) DO SERVIÇO DE INST. TUBO PVC, SÉRIE N, ESGOTO PREDIAL, 100 MM (INST. RAMAL DESCARGA, RAMAL DE ESG. SANIT., PRUMADA ESG. SANIT., VENTILAÇÃO OU SUB-COLETOR AÉREO), INCL. CONEXÕES E CORTES, FIXAÇÕES, P/ PRÉDIOS. AF_10/2015</t>
  </si>
  <si>
    <t>JANELA DE AÇO TIPO BASCULANTE PARA VIDROS, COM BATENTE, FERRAGENS E PINTURA ANTICORROSIVA. EXCLUSIVE VIDROS, ACABAMENTO, ALIZAR E CONTRAMARCO. FORNECIMENTO E INSTALAÇÃO. AF_12/2019</t>
  </si>
  <si>
    <t>(COMPOSIÇÃO REPRESENTATIVA) DO SERVIÇO DE INSTALAÇÃO DE TUBOS DE PVC,SOLDÁVEL, ÁGUA FRIA, DN 20 MM (INSTALADO EM RAMAL, SUB-RAMAL OU RAMAL DE DISTRIBUIÇÃO), INCLUSIVE CONEXÕES, CORTES E FIXAÇÕES, PARA PRÉDIOS. DE DISTRIBUIÇÃO), INCLUSIVE CONEXÕES, CORTES E FIXAÇÕES, PARA PRÉDIOS.</t>
  </si>
  <si>
    <t>CURVA 90º FoFo JE DN300mm</t>
  </si>
  <si>
    <t>TUBO AÇO CARBONO, ESP. 1/4",  COM COSTURA,  ASME B 36.19 COM FLANGES SOBREPOSTO (SLIP ON) PN-10, ISO 2531, FACE COM RESSALTO ACABAMENTO LISO PINTADO ASTM A 283 Gr. L=0,40M DN200MM</t>
  </si>
  <si>
    <t>TUBO AÇO CARBONO, ESP. 1/4",  COM COSTURA,  ASME B 36.19 COM FLANGES SOBREPOSTO (SLIP ON) PN-10 E PONTA, ISO 2531, FACE COM RESSALTO ACABAMENTO LISO PINTADO ASTM A 283 Gr. L=2,00M DN300MM</t>
  </si>
  <si>
    <t>CURVA 90º FoFo COM FLANGES PN10 DN300mm</t>
  </si>
  <si>
    <t>TUBO AÇO CARBONO, ESP. 1/4",  COM COSTURA,  ASME B 36.19 COM FLANGES SOBREPOSTO (SLIP ON) PN-10 E PONTA, ISO 2531, FACE COM RESSALTO ACABAMENTO LISO PINTADO ASTM A 283 Gr. L=0,70M DN300MM</t>
  </si>
  <si>
    <t>EXTREMIDADE FoFo FLANGE E PONTA COM ABA DE VEDAÇÃO PN10 DN250MM</t>
  </si>
  <si>
    <t>EXTRAVASOR</t>
  </si>
  <si>
    <t>VENTILAÇÃO</t>
  </si>
  <si>
    <t>ALIMENTAÇÃO RAP</t>
  </si>
  <si>
    <t>LIMPEZA</t>
  </si>
  <si>
    <t>EXTREMIDADE FoFo FLANGE E PONTA COM ABA DE VEDAÇÃO PN10 DN150MM</t>
  </si>
  <si>
    <t>CURVA 90º FoFo COM FLANGES PN10 DN150mm</t>
  </si>
  <si>
    <t>EXTREMIDADE FoFo FLANGE E PONTA COM ABA DE VEDAÇÃO PN10 DN100MM</t>
  </si>
  <si>
    <t>CURVA 90º FoFo COM FLANGES PN10 DN100mm</t>
  </si>
  <si>
    <t>MONTAGEM DE TUBOS, CONEXÕES, EQUIPAMENTOS E ACESSÓRIOS - RAP 350 M³</t>
  </si>
  <si>
    <t>VÁLVULA DE PÉ COM CRIVO FOFO NODULAR COM FLANGES PN10 DN150MM</t>
  </si>
  <si>
    <t>TUBO AÇO CARBONO, ESP. 1/4",  COM COSTURA,  ASME B 36.19 COM FLANGES SOBREPOSTO (SLIP ON) PN-10, ISO 2531, FACE COM RESSALTO ACABAMENTO LISO PINTADO ASTM A 283 Gr. L=2,00M DN150MM</t>
  </si>
  <si>
    <t>TOCO FoFo COM FLANGES PN10 E ABA DE VEDAÇÃO L=0,70M DN150MM</t>
  </si>
  <si>
    <t>TUBO AÇO CARBONO, ESP. 1/4",  COM COSTURA,  ASME B 36.19 COM FLANGES SOBREPOSTO (SLIP ON) PN-10, ISO 2531, FACE COM RESSALTO ACABAMENTO LISO PINTADO ASTM A 283 Gr. L=0,60M DN150MM</t>
  </si>
  <si>
    <t>VÁLVULA GAVETA FoFo C/ FLANGES PN10, CUNHA DE BORRACHA, CORPO CURTO COM VOLANTE DN150MM</t>
  </si>
  <si>
    <t>JUNTA DE DESMONTAGEM TRAVADA AXIALMENTE FoFo PN10 DN150MM</t>
  </si>
  <si>
    <t>REDUÇÃO EXCÊNTRICA FoFo COM FLANGES PN10 DN150x100MM</t>
  </si>
  <si>
    <t>REDUÇÃO CONCÊNTRICA FoFo COM FLANGES PN10 DN100x80MM</t>
  </si>
  <si>
    <t>CURVA 90° FoFo COM FLANGES PN10 DN100MM</t>
  </si>
  <si>
    <t>JUNTA DE DESMONTAGEM TRAVADA AXIALMENTE FoFo PN10 DN100MM</t>
  </si>
  <si>
    <t>VÁLVULA DE RETENÇÃO TIPO WAFER DUPLA PORTINHOLA FoFo DN100MM</t>
  </si>
  <si>
    <t>TUBO AÇO CARBONO, ESP. 1/4",  COM COSTURA,  ASME B 36.19 COM FLANGES SOBREPOSTO (SLIP ON) PN-10, ISO 2531, FACE COM RESSALTO ACABAMENTO LISO PINTADO ASTM A 283 Gr. L=0,75M DN100MM</t>
  </si>
  <si>
    <t>VÁLVULA BORBOLETA BI-EXCÊNTRICA - FLANGEADA PN10 COM VOLANTE DN100MM</t>
  </si>
  <si>
    <t>TÊ FoFo COM FLANGES PN10 DN150x100MM</t>
  </si>
  <si>
    <t>FLANGE CEGO FoFo PN10 DN150MM</t>
  </si>
  <si>
    <t>TUBO AÇO CARBONO, ESP. 1/4",  COM COSTURA,  ASME B 36.19 COM FLANGES SOBREPOSTO (SLIP ON) PN-10, ISO 2531, FACE COM RESSALTO ACABAMENTO LISO PINTADO ASTM A 283 Gr. L=0,80M DN150MM</t>
  </si>
  <si>
    <t>TUBO FLANGE E PONTA FoFo PN10 L=1,60M DN150MM</t>
  </si>
  <si>
    <t>CURVA 90º FoFo JE DN150MM</t>
  </si>
  <si>
    <t>CONJUNTO MOTOR BOMBA CENTRÍFUGA Q=55m³/h; Hman=24,59 m.c.a POTÊNCIA=15 HP</t>
  </si>
  <si>
    <t>VÁLVULA DE PÉ COM CRIVO FOFO NODULAR COM FLANGES PN10 DN250MM</t>
  </si>
  <si>
    <t>TUBO AÇO CARBONO, ESP. 1/4",  COM COSTURA,  ASME B 36.19 COM FLANGES SOBREPOSTO (SLIP ON) PN-10, ISO 2531, FACE COM RESSALTO ACABAMENTO LISO PINTADO ASTM A 283 Gr. L=2,00M DN250MM</t>
  </si>
  <si>
    <t>CURVA 90° FoFo COM FLANGES PN10 DN250MM</t>
  </si>
  <si>
    <t>TUBO AÇO CARBONO, ESP. 1/4",  COM COSTURA,  ASME B 36.19 COM FLANGES SOBREPOSTO (SLIP ON) PN-10, ISO 2531, FACE COM RESSALTO ACABAMENTO LISO PINTADO ASTM A 283 Gr. L=0,30M DN150MM</t>
  </si>
  <si>
    <t>REDUÇÃO EXCÊNTRICA FoFo COM FLANGES PN10 DN250x150MM</t>
  </si>
  <si>
    <t>REDUÇÃO CONCÊNTRICA FoFo COM FLANGES PN10 DN200x100MM</t>
  </si>
  <si>
    <t>CURVA 90° FoFo COM FLANGES PN10 DN200MM</t>
  </si>
  <si>
    <t>JUNTA DE DESMONTAGEM TRAVADA AXIALMENTE FoFo PN10 DN200MM</t>
  </si>
  <si>
    <t>VÁLVULA DE RETENÇÃO TIPO WAFER DUPLA PORTINHOLA FoFo DN200MM</t>
  </si>
  <si>
    <t>VÁLVULA BORBOLETA BI-EXCÊNTRICA - FLANGEADA PN10 COM VOLANTE DN200MM</t>
  </si>
  <si>
    <t>TÊ FoFo COM FLANGES PN10 DN250x200MM</t>
  </si>
  <si>
    <t>FLANGE CEGO FoFo PN10 DN250MM</t>
  </si>
  <si>
    <t>TUBO AÇO CARBONO, ESP. 1/4",  COM COSTURA,  ASME B 36.19 COM FLANGES SOBREPOSTO (SLIP ON) PN-10, ISO 2531, FACE COM RESSALTO ACABAMENTO LISO PINTADO ASTM A 283 Gr. L=0,60M DN250MM</t>
  </si>
  <si>
    <t>CURVA 90º FoFo JE DN250MM</t>
  </si>
  <si>
    <t>CONJUNTO MOTOR BOMBA CENTRÍFUGA Q=234m³/h; Hman=10.33 m.c.a
POTÊNCIA=15 HP</t>
  </si>
  <si>
    <t>DEMAIS EQUIPAMENTOS</t>
  </si>
  <si>
    <t>CONJUNTO TALHA E TROLEY COM CORRENTE CAP. 1Ton</t>
  </si>
  <si>
    <t>SERVIÇOS COMPLEMENTARES</t>
  </si>
  <si>
    <t>REFERÊNCIA</t>
  </si>
  <si>
    <t>Bagre - PA</t>
  </si>
  <si>
    <t>CAPTAÇÃO - PERFURAÇÃO DO POÇO 01</t>
  </si>
  <si>
    <t>PERFURAÇÃO DE SONDAGEM</t>
  </si>
  <si>
    <t>PERFILAGEM GEOFISICA</t>
  </si>
  <si>
    <t>REVESTIMENTO DE SUPERFÍCIE</t>
  </si>
  <si>
    <t>COMPLEMENTAÇÃO</t>
  </si>
  <si>
    <t>LIMPEZA E DESENVOLVIMENTO</t>
  </si>
  <si>
    <t>CIMENTAÇÃO E PROTEÇÃO</t>
  </si>
  <si>
    <t>PROTEÇÃO SUPERFICIAL</t>
  </si>
  <si>
    <t>FORNECIMENTO E ASSENTAMENTO DE MATERIAL</t>
  </si>
  <si>
    <t>FORNECIMENTO E INSTALACAO DE REVESTIMENTO EM TUBO DE PVC GEO
DN 8" REFORCADO COM PONTAS E BOLSAS ROSCAVEIS</t>
  </si>
  <si>
    <t>FORNECIMENTO, SOLDAGEM E INSTALACAO DE FILTRO EM ACO INOX, AISI
304, REFORCADO, RANHURA 0,75MM, DN 8”, PONTAS BISELADAS -
JAN/2020</t>
  </si>
  <si>
    <t>FORNECIMENTO E INJECAO DE PRE-FILTRO SELECIONADO, GRANULOMETRIA
DE 1 A 3MM (DE 20 A 100M)</t>
  </si>
  <si>
    <t>LIMPEZA E DESENVOLVIMENTO POCO</t>
  </si>
  <si>
    <t>TESTE DE VAZÃO COM BOMBA SUBMERSA</t>
  </si>
  <si>
    <t>ANALISE FISICO-QUIMICA E BACTERIOLOGICA DA AGUA</t>
  </si>
  <si>
    <t>FITA TRANSPARENTE EM POLIREUTANO PU 2,5X20X900 MM.</t>
  </si>
  <si>
    <t>FIVELA INOX 316 L</t>
  </si>
  <si>
    <t>TUBO PVC ROSCÁVEL 3/4"</t>
  </si>
  <si>
    <t>MANGOTE FLEXIVEL DN 4" PARA INSTALACAO EM POCO PROFUNDO CONSTRUIDA COM TRAMA EM POLIESTER MAIS POLIAMIDA DE ALTA TENACIDADE PRESSAO DE TRABALHO 25 KG/CM2 E RUPTURA 50 KG/CM2</t>
  </si>
  <si>
    <t>TERMINAL EM ACO INOX AISI 316 L DE 4" 2 PARTE CAPA E ESPIGAO COM ROSA ARRENDODADA PARA MANGUEIRA E ROSCA BSP</t>
  </si>
  <si>
    <t>PINCA DE MONTAGEM EM VIGA U COM OLHAL, PARAFUSO, PORCA E MANTA EMBORRACGADA</t>
  </si>
  <si>
    <t>CIMENTACAO DO ESPACO ANELAR, COM CALDA DE CIMENTO E BENTONITA, DA SUPERFICIE ATE 90 M.</t>
  </si>
  <si>
    <t>PERFIL: RAIO GAMA, SP E RESISTIVIDADE APARENTE</t>
  </si>
  <si>
    <t>RELATORIO TECNICO COM PERFIL GEOLOGICO E CONSTRUTIVO E ANOTAÇÃO DE RESPONSABILIDADE TECNICA (ART)</t>
  </si>
  <si>
    <t>REGISTRO GAVETA FOFO C/ FLANGES, CUNHA BORRACHA CORPO CURTO E VOLANTE TIPO EURO 23, PN16 DIAM = 100 MM</t>
  </si>
  <si>
    <t>BOMBA SUBMERSA, MOTOR DE 30 HP, 220/380V, COM VAZAO DE 70 M³/H E ALTURA MANOMETRICA DE 90 M.C.A, EBARA OU SIMILAR</t>
  </si>
  <si>
    <t>TAMPA DE ACO ESPESSURA 1/2" PARA A BOCA DO POCO DN 200</t>
  </si>
  <si>
    <t>PECA ESPECIAL CONSTRUIDA EM ACO E=1/2" PARA ADAPTACAO DO
MANGOTE A CURVA 90º X 100 MM</t>
  </si>
  <si>
    <t>MONTAGEM DE PEÇAS E EQUIPAMENTOS</t>
  </si>
  <si>
    <t>APOIOS E ANCORAGENS</t>
  </si>
  <si>
    <t>9 - RESERVATÓRIO ELEVADO 150 M³</t>
  </si>
  <si>
    <t>9.1</t>
  </si>
  <si>
    <t>9.1.1</t>
  </si>
  <si>
    <t xml:space="preserve">ALIMENTAÇÃO DO REL </t>
  </si>
  <si>
    <t>VÁLVULA BORBOLETA F°F° COM FLANGES E BÓIA DN 150MM</t>
  </si>
  <si>
    <t>CURVA 90° F°F° COM FLANGES PN-10 DN 150MM</t>
  </si>
  <si>
    <t>TUBO AÇO CARBONO, ESP. 1/4",  COM COSTURA,  ASME B 36.19 COM FLANGES SOBREPOSTO (SLIP ON) PN-10, ISO 2531, FACE COM RESSALTO ACABAMENTO LISO PINTADO ASTM A 283 Gr. L=1,00M DN 150MM</t>
  </si>
  <si>
    <t>TUBO AÇO CARBONO, ESP. 1/4",  COM COSTURA,  ASME B 36.19 COM FLANGES SOBREPOSTO (SLIP ON) PN-10, ISO 2531, FACE COM RESSALTO ACABAMENTO LISO PINTADO ASTM A 283 Gr. L=5,50M DN 150MM</t>
  </si>
  <si>
    <t>TUBO AÇO CARBONO, ESP. 1/4",  COM COSTURA,  ASME B 36.19 COM FLANGES SOBREPOSTO (SLIP ON) PN-10, ISO 2531, FACE COM RESSALTO ACABAMENTO LISO PINTADO ASTM A 283 Gr. L=2,90M DN 150MM</t>
  </si>
  <si>
    <t>TUBO AÇO CARBONO, ESP. 1/4",  COM COSTURA,  ASME B 36.19 COM FLANGES SOBREPOSTO (SLIP ON) PN-10, ISO 2531, FACE COM RESSALTO ACABAMENTO LISO PINTADO ASTM A 283 Gr. L=5,80M DN 150MM</t>
  </si>
  <si>
    <t>TOCO F°F° COM FLANGES PN10 E ABA DE VEDAÇÃO L=0,70M DN 150MM</t>
  </si>
  <si>
    <t>TUBO F°F° FLANGE E PONTA PN-10 DN 150MM L=5,80M</t>
  </si>
  <si>
    <t>CURVA 90º F°F° COM BOLSAS JE DN150MM</t>
  </si>
  <si>
    <t>CURVA 90º F°F° COM BOLSAS JE DN 150MM</t>
  </si>
  <si>
    <t>TUBO F°F° FLANGE E PONTA PN-10 DN 150MM L=3,00</t>
  </si>
  <si>
    <t>TUBO AÇO CARBONO, ESP. 1/4",  COM COSTURA,  ASME B 36.19 COM FLANGES SOBREPOSTO (SLIP ON) PN-10, ISO 2531, FACE COM RESSALTO ACABAMENTO LISO PINTADO ASTM A 283 Gr. L=5,75M DN 150MM</t>
  </si>
  <si>
    <t>REDUÇÃO CONCÊNTRICA F°F° COM FLANGES PN10 DN 250x150MM</t>
  </si>
  <si>
    <t>CURVA 90º F°F° COM BOLSAS JE DN 100MM</t>
  </si>
  <si>
    <t>TUBO F°F° FLANGE E PONTA PN-10 DN 100MM L=1,80M</t>
  </si>
  <si>
    <t>VÁLVULA GAVETA F°F° COM FLANGES E CUNHA DE BORRACHA, CORPO CHATO E VOLANTE PN-10 DN 100MM</t>
  </si>
  <si>
    <t>TUBO AÇO CARBONO, ESP. 1/4",  COM COSTURA,  ASME B 36.19 COM FLANGES SOBREPOSTO (SLIP ON) PN-10, ISO 2531, FACE COM RESSALTO ACABAMENTO LISO PINTADO ASTM A 283 Gr. L=1,00M DN100MM</t>
  </si>
  <si>
    <t>TUBO AÇO CARBONO, ESP. 1/4",  COM COSTURA,  ASME B 36.19 COM FLANGES SOBREPOSTO (SLIP ON) PN-10, ISO 2531, FACE COM RESSALTO ACABAMENTO LISO PINTADO ASTM A 283 Gr. L=5,80M DN100MM</t>
  </si>
  <si>
    <t>EXTREMIDADE F°F° PONTA E FLANGE COM ABA DE VEDAÇÃO PN-10 L=0,70M DN 100MM</t>
  </si>
  <si>
    <t>DISTRIBUIÇÃO</t>
  </si>
  <si>
    <t>EXTREMIDADE F°F° COM BOLSA E FLANGE JE PN-10 DN 200MM</t>
  </si>
  <si>
    <t>VÁLVULA GAVETA F°F° COM FLANGES E CUNHA DE BORRACHA, CORPO CHATO E CABEÇOTE PN-10 DN 200MM</t>
  </si>
  <si>
    <t>TUBO F°F° FLANGE E PONTA PN-10 DN 200MM L=1,50</t>
  </si>
  <si>
    <t>CURVA 90º F°F° COM BOLSAS JE DN 200MM</t>
  </si>
  <si>
    <t>TUBO F°F° FLANGE E PONTA PN-10 DN 200MM L=5,80</t>
  </si>
  <si>
    <t>TUBO AÇO CARBONO, ESP. 1/4",  COM COSTURA,  ASME B 36.19 COM FLANGES SOBREPOSTO (SLIP ON) PN-10, ISO 2531, FACE COM RESSALTO ACABAMENTO LISO PINTADO ASTM A 283 Gr. L=3,30M DN200MM</t>
  </si>
  <si>
    <t>TUBO AÇO CARBONO, ESP. 1/4",  COM COSTURA,  ASME B 36.19 COM FLANGES SOBREPOSTO (SLIP ON) PN-10, ISO 2531, FACE COM RESSALTO ACABAMENTO LISO PINTADO ASTM A 283 Gr. L=5,80M DN200MM</t>
  </si>
  <si>
    <t>TOCO F°F° COM FLANGES PN-10 L= 0.50m DN 200MM</t>
  </si>
  <si>
    <t>CURVA 90° F°F° COM FLANGES PN-10 DN 100MM</t>
  </si>
  <si>
    <t>EXTREMIDADE F°F° COM PONTA E FLANGE E ABA DE VEDAÇÃO PN-10 L=0,70M DN 100MM</t>
  </si>
  <si>
    <t>ORSE</t>
  </si>
  <si>
    <t>M3</t>
  </si>
  <si>
    <t>4.1.1.1</t>
  </si>
  <si>
    <t>3.2</t>
  </si>
  <si>
    <t>3.2.1</t>
  </si>
  <si>
    <t>3.2.1.1</t>
  </si>
  <si>
    <t>3.2.1.2</t>
  </si>
  <si>
    <t>3.2.1.3</t>
  </si>
  <si>
    <t>3.2.2</t>
  </si>
  <si>
    <t>3.2.2.1</t>
  </si>
  <si>
    <t>3.2.3</t>
  </si>
  <si>
    <t>3.2.4</t>
  </si>
  <si>
    <t>3.2.4.1</t>
  </si>
  <si>
    <t>3.2.4.2</t>
  </si>
  <si>
    <t>3.2.5</t>
  </si>
  <si>
    <t>3.2.5.1</t>
  </si>
  <si>
    <t>3.2.6</t>
  </si>
  <si>
    <t>3.2.6.1</t>
  </si>
  <si>
    <t>3.2.6.2</t>
  </si>
  <si>
    <t>3.2.6.3</t>
  </si>
  <si>
    <t>3.2.7</t>
  </si>
  <si>
    <t>3.2.7.1</t>
  </si>
  <si>
    <t>3.2.7.2</t>
  </si>
  <si>
    <t>3.2.8</t>
  </si>
  <si>
    <t>3.2.8.1</t>
  </si>
  <si>
    <t>3.2.9</t>
  </si>
  <si>
    <t>3.2.9.1</t>
  </si>
  <si>
    <t>3.2.10</t>
  </si>
  <si>
    <t>3.2.10.1</t>
  </si>
  <si>
    <t>3.2.10.2</t>
  </si>
  <si>
    <t>3.2.11</t>
  </si>
  <si>
    <t>3.2.11.1</t>
  </si>
  <si>
    <t>3.2.11.2</t>
  </si>
  <si>
    <t>3.2.11.3</t>
  </si>
  <si>
    <t>3.2.11.4</t>
  </si>
  <si>
    <t>3.2.11.5</t>
  </si>
  <si>
    <t>3.2.11.6</t>
  </si>
  <si>
    <t>3.2.13</t>
  </si>
  <si>
    <t>3 - CAPTAÇÃO - CONSTRUÇÃO DOS POÇOS 01 E 02</t>
  </si>
  <si>
    <t>CAPTAÇÃO - CONSTRUÇÃO DOS POÇOS 01 E 02</t>
  </si>
  <si>
    <t>CONSTRUÇÃO ADUTORAS</t>
  </si>
  <si>
    <t>4.1.2.1</t>
  </si>
  <si>
    <t>4.1.2.2</t>
  </si>
  <si>
    <t>4.1.2.3</t>
  </si>
  <si>
    <t>4.1.4</t>
  </si>
  <si>
    <t>4.1.4.1</t>
  </si>
  <si>
    <t>4.1.4.2</t>
  </si>
  <si>
    <t>4.1.4.3</t>
  </si>
  <si>
    <t>4.1.5</t>
  </si>
  <si>
    <t>4.1.5.1</t>
  </si>
  <si>
    <t>4.1.5.2</t>
  </si>
  <si>
    <t>4.1.5.3</t>
  </si>
  <si>
    <t>4.1.6</t>
  </si>
  <si>
    <t>4.1.6.1</t>
  </si>
  <si>
    <t>4.1.6.2</t>
  </si>
  <si>
    <t>4.1.6.3</t>
  </si>
  <si>
    <t>4.2</t>
  </si>
  <si>
    <t>4.2.1</t>
  </si>
  <si>
    <t>4.2.1.1</t>
  </si>
  <si>
    <t>4.2.2</t>
  </si>
  <si>
    <t>4.2.2.1</t>
  </si>
  <si>
    <t>4.2.2.2</t>
  </si>
  <si>
    <t>4.2.2.3</t>
  </si>
  <si>
    <t>4.2.3</t>
  </si>
  <si>
    <t>4.2.3.1</t>
  </si>
  <si>
    <t>4.2.4</t>
  </si>
  <si>
    <t>4.2.4.1</t>
  </si>
  <si>
    <t>4.2.4.2</t>
  </si>
  <si>
    <t>4.2.4.3</t>
  </si>
  <si>
    <t>4.2.5</t>
  </si>
  <si>
    <t>4.2.5.1</t>
  </si>
  <si>
    <t>4.2.5.2</t>
  </si>
  <si>
    <t>4.2.5.3</t>
  </si>
  <si>
    <t>4.2.6</t>
  </si>
  <si>
    <t>4.2.6.1</t>
  </si>
  <si>
    <t>4.2.6.2</t>
  </si>
  <si>
    <t>4.2.6.3</t>
  </si>
  <si>
    <t>4.3</t>
  </si>
  <si>
    <t>4.3.1</t>
  </si>
  <si>
    <t>4.3.2</t>
  </si>
  <si>
    <t>4.3.2.2</t>
  </si>
  <si>
    <t>4.3.2.3</t>
  </si>
  <si>
    <t>4.3.3</t>
  </si>
  <si>
    <t>4.3.3.1</t>
  </si>
  <si>
    <t>4.3.4</t>
  </si>
  <si>
    <t>4.3.4.1</t>
  </si>
  <si>
    <t>4.3.4.2</t>
  </si>
  <si>
    <t>4.3.4.3</t>
  </si>
  <si>
    <t>4.3.4.4</t>
  </si>
  <si>
    <t>4.3.5</t>
  </si>
  <si>
    <t>4.3.6</t>
  </si>
  <si>
    <t>4.3.5.1</t>
  </si>
  <si>
    <t>4.3.5.2</t>
  </si>
  <si>
    <t>4.3.6.1</t>
  </si>
  <si>
    <t>4.3.6.2</t>
  </si>
  <si>
    <t>4.3.6.3</t>
  </si>
  <si>
    <t>4.4.</t>
  </si>
  <si>
    <t>4.4.1</t>
  </si>
  <si>
    <t>4.4.1.1</t>
  </si>
  <si>
    <t>4.4.2</t>
  </si>
  <si>
    <t>4.4.2.1</t>
  </si>
  <si>
    <t>4.4.2.2</t>
  </si>
  <si>
    <t>4.4.2.3</t>
  </si>
  <si>
    <t>4.4.3</t>
  </si>
  <si>
    <t>4.4.3.1</t>
  </si>
  <si>
    <t>4.4.4</t>
  </si>
  <si>
    <t>4.4.4.1</t>
  </si>
  <si>
    <t>4.4.6.1</t>
  </si>
  <si>
    <t>4.4.5.1</t>
  </si>
  <si>
    <t>4.4.4.2</t>
  </si>
  <si>
    <t>4.4.4.3</t>
  </si>
  <si>
    <t>4.4.4.4</t>
  </si>
  <si>
    <t>4.4.4.5</t>
  </si>
  <si>
    <t>4.4.5</t>
  </si>
  <si>
    <t>4.4.5.2</t>
  </si>
  <si>
    <t>4.4.6</t>
  </si>
  <si>
    <t>4.4.6.2</t>
  </si>
  <si>
    <t>4.4.6.3</t>
  </si>
  <si>
    <t>4.5</t>
  </si>
  <si>
    <t>4.5.1</t>
  </si>
  <si>
    <t>4.5.1.1</t>
  </si>
  <si>
    <t>4.5.2</t>
  </si>
  <si>
    <t>4.5.2.1</t>
  </si>
  <si>
    <t>4.5.2.2</t>
  </si>
  <si>
    <t>4.5.2.3</t>
  </si>
  <si>
    <t>4.5.3</t>
  </si>
  <si>
    <t>4.5.3.1</t>
  </si>
  <si>
    <t>4.5.4</t>
  </si>
  <si>
    <t>4.5.4.1</t>
  </si>
  <si>
    <t>4.5.4.2</t>
  </si>
  <si>
    <t>4.5.4.3</t>
  </si>
  <si>
    <t>4.5.4.4</t>
  </si>
  <si>
    <t>4.5.4.5</t>
  </si>
  <si>
    <t>4.5.4.6</t>
  </si>
  <si>
    <t>4.5.4.7</t>
  </si>
  <si>
    <t>4.5.5</t>
  </si>
  <si>
    <t>4.5.5.1</t>
  </si>
  <si>
    <t>4.5.5.2</t>
  </si>
  <si>
    <t>4.5.5.3</t>
  </si>
  <si>
    <t>4.5.5.4</t>
  </si>
  <si>
    <t>4.5.5.5</t>
  </si>
  <si>
    <t>4.5.5.6</t>
  </si>
  <si>
    <t>4.5.6</t>
  </si>
  <si>
    <t>4.5.6.1</t>
  </si>
  <si>
    <t>4.5.6.2</t>
  </si>
  <si>
    <t>4.5.6.3</t>
  </si>
  <si>
    <t>TUBO FLANGE E PONTA PN10 L=1,60M DN300MM</t>
  </si>
  <si>
    <t>4 - CONSTRUÇÃO ADUTORAS</t>
  </si>
  <si>
    <t>7 - CONSTRUÇÃO RESERVATÓRIO APOIADO 350M³ E EEAT + EEALF</t>
  </si>
  <si>
    <t>CONSTRUÇÃO RESERVATÓRIO APOIADO 350M³ E EEAT + EEALF</t>
  </si>
  <si>
    <t>7.1.1.1</t>
  </si>
  <si>
    <t>7.1.2</t>
  </si>
  <si>
    <t>7.1.2.1</t>
  </si>
  <si>
    <t>7.1.2.2</t>
  </si>
  <si>
    <t>7.1.2.3</t>
  </si>
  <si>
    <t>7.1.2.4</t>
  </si>
  <si>
    <t>7.1.2.5</t>
  </si>
  <si>
    <t>7.1.2.6</t>
  </si>
  <si>
    <t>7.1.3</t>
  </si>
  <si>
    <t>7.1.4</t>
  </si>
  <si>
    <t>7.1.5</t>
  </si>
  <si>
    <t>7.1.6</t>
  </si>
  <si>
    <t>7.5</t>
  </si>
  <si>
    <t>7.1.5.2</t>
  </si>
  <si>
    <t>7.1.5.3</t>
  </si>
  <si>
    <t>7.1.5.4</t>
  </si>
  <si>
    <t>7.1.5.5</t>
  </si>
  <si>
    <t>7.1.5.6</t>
  </si>
  <si>
    <t>7.1.5.7</t>
  </si>
  <si>
    <t>7.1.5.8</t>
  </si>
  <si>
    <t>7.1.5.9</t>
  </si>
  <si>
    <t>RESERVATÓRIO APOIADO E ELEVATÓRIA - OBRAS CIVIS</t>
  </si>
  <si>
    <t>7.1.6.3</t>
  </si>
  <si>
    <t>7.1.6.4</t>
  </si>
  <si>
    <t>7.1.6.5</t>
  </si>
  <si>
    <t>7.1.6.6</t>
  </si>
  <si>
    <t>7.1.6.7</t>
  </si>
  <si>
    <t>7.1.6.8</t>
  </si>
  <si>
    <t>7.3.2</t>
  </si>
  <si>
    <t>7.5.1</t>
  </si>
  <si>
    <t>7.4.1.1</t>
  </si>
  <si>
    <t>7.1.3.1</t>
  </si>
  <si>
    <t>7.1.4.2</t>
  </si>
  <si>
    <t>7.1.4.5</t>
  </si>
  <si>
    <t>7.1.4.6</t>
  </si>
  <si>
    <t>7.1.4.7</t>
  </si>
  <si>
    <t>7.1.4.8</t>
  </si>
  <si>
    <t>7.1.4.9</t>
  </si>
  <si>
    <t>7.1.4.10</t>
  </si>
  <si>
    <t>7.1.4.11</t>
  </si>
  <si>
    <t>7.1.4.12</t>
  </si>
  <si>
    <t>7.1.4.13</t>
  </si>
  <si>
    <t>7.1.4.14</t>
  </si>
  <si>
    <t>7.1.4.15</t>
  </si>
  <si>
    <t>7.4.1.2</t>
  </si>
  <si>
    <t>7.4.1.3</t>
  </si>
  <si>
    <t>7.4.1.4</t>
  </si>
  <si>
    <t>7.4.1.5</t>
  </si>
  <si>
    <t>7.4.1.6</t>
  </si>
  <si>
    <t>7.4.1.7</t>
  </si>
  <si>
    <t>7.4.1.8</t>
  </si>
  <si>
    <t>7.4.1.9</t>
  </si>
  <si>
    <t>7.4.1.10</t>
  </si>
  <si>
    <t>7.4.1.11</t>
  </si>
  <si>
    <t>7.4.1.12</t>
  </si>
  <si>
    <t>7.4.1.13</t>
  </si>
  <si>
    <t>7.4.1.14</t>
  </si>
  <si>
    <t>7.4.1.15</t>
  </si>
  <si>
    <t>7.4.1.16</t>
  </si>
  <si>
    <t>7.4.1.17</t>
  </si>
  <si>
    <t>7.4.1.18</t>
  </si>
  <si>
    <t>7.4.1.19</t>
  </si>
  <si>
    <t>FORNECIMENTO DE PEÇAS E MONTAGEM RAP 350 M³</t>
  </si>
  <si>
    <t>7.2.2.1</t>
  </si>
  <si>
    <t>7.2.2.2</t>
  </si>
  <si>
    <t>7.2.2.3</t>
  </si>
  <si>
    <t>7.2.2.4</t>
  </si>
  <si>
    <t>7.2.2.5</t>
  </si>
  <si>
    <t>7.2.2.6</t>
  </si>
  <si>
    <t>7.2.2.7</t>
  </si>
  <si>
    <t>FORNECIMENTO DE PEÇAS E MONTAGEM EEAT</t>
  </si>
  <si>
    <t>7.3.1.1</t>
  </si>
  <si>
    <t>7.3.1.2</t>
  </si>
  <si>
    <t>7.3.1.3</t>
  </si>
  <si>
    <t>7.3.1.4</t>
  </si>
  <si>
    <t>7.3.1.5</t>
  </si>
  <si>
    <t>7.3.1.6</t>
  </si>
  <si>
    <t>7.3.1.7</t>
  </si>
  <si>
    <t>7.3.1.8</t>
  </si>
  <si>
    <t>7.3.1.9</t>
  </si>
  <si>
    <t>7.3.1.10</t>
  </si>
  <si>
    <t>7.3.1.11</t>
  </si>
  <si>
    <t>7.3.1.12</t>
  </si>
  <si>
    <t>7.3.1.13</t>
  </si>
  <si>
    <t>7.3.1.14</t>
  </si>
  <si>
    <t>7.3.1.15</t>
  </si>
  <si>
    <t>7.3.1.16</t>
  </si>
  <si>
    <t>7.3.1.17</t>
  </si>
  <si>
    <t>7.3.1.18</t>
  </si>
  <si>
    <t>7.3.1.19</t>
  </si>
  <si>
    <t>7.3.1.20</t>
  </si>
  <si>
    <t>7.3.2.1</t>
  </si>
  <si>
    <t>7.3.2.6</t>
  </si>
  <si>
    <t>MONTAGEM DE TUBOS, CONEXÕES, EQUIPAMENTOS E ACESSÓRIOS - EEAT</t>
  </si>
  <si>
    <t>FORNECIMENTO DE PEÇAS E MONTAGEM EEATF</t>
  </si>
  <si>
    <t>7.4.1.26</t>
  </si>
  <si>
    <t>7.4.2.1</t>
  </si>
  <si>
    <t>7.4.2.6</t>
  </si>
  <si>
    <t>9.2</t>
  </si>
  <si>
    <t>9.2.1</t>
  </si>
  <si>
    <t>9.2.2</t>
  </si>
  <si>
    <t>9.2.3</t>
  </si>
  <si>
    <t>9.3</t>
  </si>
  <si>
    <t>9.3.1</t>
  </si>
  <si>
    <t>9.4</t>
  </si>
  <si>
    <t>9.4.1</t>
  </si>
  <si>
    <t>9.4.2</t>
  </si>
  <si>
    <t>9.4.3</t>
  </si>
  <si>
    <t>9.4.4</t>
  </si>
  <si>
    <t>9.4.5</t>
  </si>
  <si>
    <t>9.4.6</t>
  </si>
  <si>
    <t>9.4.7</t>
  </si>
  <si>
    <t>9.4.8</t>
  </si>
  <si>
    <t>9.4.9</t>
  </si>
  <si>
    <t>9.4.10</t>
  </si>
  <si>
    <t>9.4.11</t>
  </si>
  <si>
    <t>9.4.12</t>
  </si>
  <si>
    <t>9.9</t>
  </si>
  <si>
    <t>9.9.1</t>
  </si>
  <si>
    <t>9.9.2</t>
  </si>
  <si>
    <t>9.9.1.2</t>
  </si>
  <si>
    <t>9.9.1.3</t>
  </si>
  <si>
    <t>9.9.1.4</t>
  </si>
  <si>
    <t>9.9.1.5</t>
  </si>
  <si>
    <t>9.9.1.6</t>
  </si>
  <si>
    <t>9.9.1.7</t>
  </si>
  <si>
    <t>9.9.1.8</t>
  </si>
  <si>
    <t>9.9.1.9</t>
  </si>
  <si>
    <t>9.9.1.10</t>
  </si>
  <si>
    <t>9.9.1.11</t>
  </si>
  <si>
    <t>9.9.1.12</t>
  </si>
  <si>
    <t>9.9.1.13</t>
  </si>
  <si>
    <t>9.9.1.14</t>
  </si>
  <si>
    <t>9.9.1.15</t>
  </si>
  <si>
    <t>9.9.1.16</t>
  </si>
  <si>
    <t>9.9.1.17</t>
  </si>
  <si>
    <t>9.9.1.18</t>
  </si>
  <si>
    <t>9.9.1.19</t>
  </si>
  <si>
    <t>9.9.1.20</t>
  </si>
  <si>
    <t>9.9.1.21</t>
  </si>
  <si>
    <t>9.9.1.22</t>
  </si>
  <si>
    <t>9.9.1.23</t>
  </si>
  <si>
    <t>9.9.1.24</t>
  </si>
  <si>
    <t>9.9.1.25</t>
  </si>
  <si>
    <t>9.9.1.26</t>
  </si>
  <si>
    <t>9.9.1.27</t>
  </si>
  <si>
    <t>9.9.1.28</t>
  </si>
  <si>
    <t>9.9.1.29</t>
  </si>
  <si>
    <t>9.9.1.30</t>
  </si>
  <si>
    <t>9.9.1.31</t>
  </si>
  <si>
    <t>9.9.1.32</t>
  </si>
  <si>
    <t>FORNECIMENTO DE PEÇAS E MONTAGEM REL 150 M³</t>
  </si>
  <si>
    <t>FORNECIMENTO DE TUBOS, CONEXÕES, EQUIPAMENTOS E ACESSÓRIOS - EEAT</t>
  </si>
  <si>
    <t>FORNECIMENTO DE TUBOS, CONEXÕES, EQUIPAMENTOS E ACESSÓRIOS - RAP 350M³</t>
  </si>
  <si>
    <t>FORNECIMENTO DE TUBOS, CONEXÕES, EQUIPAMENTOS E ACESSÓRIOS - EELF</t>
  </si>
  <si>
    <t>MONTAGEM DE TUBOS, CONEXÕES, EQUIPAMENTOS E ACESSÓRIOS - EELF</t>
  </si>
  <si>
    <t>FORNECIMENTO DE TUBOS, CONEXÕES, EQUIPAMENTOS E ACESSÓRIOS - REL 150M³</t>
  </si>
  <si>
    <t>9.9.1.1</t>
  </si>
  <si>
    <t>9.9.1.33</t>
  </si>
  <si>
    <t>M2</t>
  </si>
  <si>
    <t>CANTEIRO DE OBRA</t>
  </si>
  <si>
    <t>PISO CIMENTADO, TRAÇO 1:3 (CIMENTO E AREIA), ACABAMENTO LISO, ESPESSURA 3,0 CM, PREPARO MECÂNICO DA ARGAMASSA. AF_09/2020</t>
  </si>
  <si>
    <t>EXECUÇÃO DE PASSEIO (CALÇADA) OU PISO DE CONCRETO COM CONCRETO MOLDADO IN LOCO, FEITO EM OBRA, ACABAMENTO CONVENCIONAL, ESPESSURA 6 CM, ARMADO. AF_07/2016</t>
  </si>
  <si>
    <t>TANQUE SÉPTICO CIRCULAR, EM CONCRETO PRÉ-MOLDADO, DIÂMETRO INTERNO = 1,40 M, ALTURA INTERNA = 2,50 M, VOLUME ÚTIL: 3463,6 L (PARA 13 CONTRIBUINTES). AF_12/2020</t>
  </si>
  <si>
    <t>SUMIDOURO RETANGULAR, EM ALVENARIA COM BLOCOS DE CONCRETO, DIMENSÕES INTERNAS: 1,6 X 5,8 X 3,0 M, ÁREA DE INFILTRAÇÃO: 50 M² (PARA 20 CONTRIBUINTES). . AF_12/2020</t>
  </si>
  <si>
    <t>CARGA, MANOBRA E DESCARGA DE ENTULHO EM CAMINHÃO BASCULANTE 6 M³ - CARGA COM ESCAVADEIRA HIDRÁULICA  (CAÇAMBA DE 0,80 M³ / 111 HP) E DESCARGA LIVRE (UNIDADE: M3). AF_07/2020</t>
  </si>
  <si>
    <t>TRANSPORTE COM CAMINHÃO BASCULANTE DE 6 M³, EM VIA URBANA PAVIMENTADA, DMT ATÉ 30 KM (UNIDADE: M3XKM). AF_07/2020</t>
  </si>
  <si>
    <t>M3XKM</t>
  </si>
  <si>
    <t>LIGAÇÃO PREDIAL DE ÁGUA NO PASSEIO EM 1 1/2", COM FORNECIMENTO DO MATERIAL, INCLUSIVE HIDRÔMETRO DE 20M3/H E CAIXA DE PROTEÇÃO C/TAMPA DE CONCRETO</t>
  </si>
  <si>
    <t>1 - CANTEIRO DE OBRA</t>
  </si>
  <si>
    <t>CONSTRUÇÃO DE CANTEIRO DE OBRA E BARRACÃO</t>
  </si>
  <si>
    <t>CONSTRUÇÃO CANTEIRO DE OBRA</t>
  </si>
  <si>
    <t>Canteiro da Obra</t>
  </si>
  <si>
    <t>SET.2021</t>
  </si>
  <si>
    <t>CONSTRUÇÃO RESERVATÓRIO ELEVADO 150 M³</t>
  </si>
  <si>
    <t>CONCRETO USINADO BOMBEADO FCK=30MPA, INCLUSIVE LANÇAMENTO E ADENSAMENTO</t>
  </si>
  <si>
    <t>LOCACAO DE ANDAIME METALICO TUBULAR TIPO TORRE</t>
  </si>
  <si>
    <t>M/MES</t>
  </si>
  <si>
    <t>MONTAGEM E DESMONTAGEM DE ANDAIME TUBULAR TIPO TORRE (EXCLUSIVE ANDAIME E LIMPEZA). AF_11/2017</t>
  </si>
  <si>
    <t xml:space="preserve">FORMA DESLIZANTE PARA RESERVATÓRIO CIRCULAR EM CONELEVADO  DIÂMETRO EXTERNO 6 COM Espessura da parede externa = 25 cm </t>
  </si>
  <si>
    <t>Reservatório Apoiado - V=350 m³</t>
  </si>
  <si>
    <t>Reservatório elevado - V=150 m³</t>
  </si>
  <si>
    <t>CARGA, TRANSPORTE E DESCARGA DE TUBOS E CONEXÕES DE  PVC PBA E PVC DEFOFO DN 100 MM</t>
  </si>
  <si>
    <t>CARGA, TRANSPORTE E DESCARGA DE TUBOS E CONEXÕES DE  PVC PBA E PVC DEFOFO DN 150 MM</t>
  </si>
  <si>
    <t>TESTE  HIDROSTÁTICO EM REDE DE ÁGUA / ADUTORA</t>
  </si>
  <si>
    <t>DESINFECÇÃO EM REDE DE ÁGUA / ADUTORA</t>
  </si>
  <si>
    <t>1.1.1</t>
  </si>
  <si>
    <t>1.1.2</t>
  </si>
  <si>
    <t>1.1.3</t>
  </si>
  <si>
    <t>1.1.5</t>
  </si>
  <si>
    <t>1.2.1</t>
  </si>
  <si>
    <t>1.2.2</t>
  </si>
  <si>
    <t>1.2.3</t>
  </si>
  <si>
    <t>1.2.4</t>
  </si>
  <si>
    <t>1.2.5</t>
  </si>
  <si>
    <t>1.2.6</t>
  </si>
  <si>
    <t>1.2.8</t>
  </si>
  <si>
    <t>1.2.9</t>
  </si>
  <si>
    <t>1.2.10</t>
  </si>
  <si>
    <t>4.1.3.2</t>
  </si>
  <si>
    <t>4.1.3.3</t>
  </si>
  <si>
    <t>4.1.3.4</t>
  </si>
  <si>
    <t>4.5.3.2</t>
  </si>
  <si>
    <t>4.5.3.3</t>
  </si>
  <si>
    <t>4.5.3.4</t>
  </si>
  <si>
    <t>4.2.3.2</t>
  </si>
  <si>
    <t>4.2.3.3</t>
  </si>
  <si>
    <t>4.2.3.4</t>
  </si>
  <si>
    <r>
      <rPr>
        <b/>
        <sz val="10"/>
        <rFont val="Arial"/>
        <family val="2"/>
      </rPr>
      <t>ETA COMPACA EM FIBRA DE VIDRO CONSTRUÍDA EM FIBRA DE VIDRO CONFORME NBR12216/1992 COM PARA TRATAR 128 M³/H:</t>
    </r>
    <r>
      <rPr>
        <sz val="10"/>
        <rFont val="Arial"/>
        <family val="2"/>
      </rPr>
      <t xml:space="preserve">
- 1 UNIDADE DE AERADOR CILÍNDRICO DESCENDENTE TIPO CASCATA DE BADEJAS, EM PRFV (DIM 1,50MX15,00M);
- 2 UNIDADES DE FILTRO DE AREIA ASCENDENTE, EM FIBRA DE VIDRO (PRFV), DE FORMATO CILÍNDRICO VERTICAL, INCLUSO EPC. Ø3,50M H 3,60M;
- MATERIAL FILTRANTE - AREIA E SEIXOS COM VOLUME PARA 2 FILTROS E GRANOLOMETRIA CONFORME ESPECIFICAÇÃO TÉCNICA;
- TUBULAÇÃO DE INTERLIGAÇÃO ENTRE EQUIPAMENTOS;
- TANQUE DE DOSAGEM QUÍMICA - EM PRFV, PARA APLICAÇÃO DE PAC E CLORO;
- SERVIÇOS DE PROJETO, INSTALAÇÃO, TREINAMENTO E STARTUP.
- EQUIPAMENTOS ADICIONAIS CONFORME TECNOLOGIA DO FABRICANTE;</t>
    </r>
  </si>
  <si>
    <t>ACS</t>
  </si>
  <si>
    <t>FORNECIMENTO, INSTALAÇÃO, COMISSIONAMENTOS E TREINAMENTO PARA OPERAÇÃO DA ETA</t>
  </si>
  <si>
    <t>CT</t>
  </si>
  <si>
    <t>CIMBRAMENTO DE MADEIRA</t>
  </si>
  <si>
    <t>TUBO COM FLANGE E PONTA PN10 L=1.60m DN150MM</t>
  </si>
  <si>
    <t>TUBO COM FLANGE E PONTA PN10 L=3.60m DN150MM</t>
  </si>
  <si>
    <t>VÁLVULA BORBOLETA - FLANGEADA PN10 COM VOLANTE DN100MM</t>
  </si>
  <si>
    <t>9.4.13</t>
  </si>
  <si>
    <t>9.4.14</t>
  </si>
  <si>
    <t>9.4.15</t>
  </si>
  <si>
    <t>9.4.16</t>
  </si>
  <si>
    <t>Tarifa de Energia Elétrica Comercial, Baixa Tensão.</t>
  </si>
  <si>
    <t>Kw/h</t>
  </si>
  <si>
    <t>Tarifa "A" entre 0 e 20 m³ Fornecimento de Água.</t>
  </si>
  <si>
    <t>1.1.4</t>
  </si>
  <si>
    <t>3.2.13.1</t>
  </si>
  <si>
    <t>4.3.3.2</t>
  </si>
  <si>
    <t>4.3.3.3</t>
  </si>
  <si>
    <t>4.3.3.4</t>
  </si>
  <si>
    <t>4.4.3.2</t>
  </si>
  <si>
    <t>4.4.3.3</t>
  </si>
  <si>
    <t>4.4.3.4</t>
  </si>
  <si>
    <t>5.5</t>
  </si>
  <si>
    <t>5.5.1</t>
  </si>
  <si>
    <t>5.5.2</t>
  </si>
  <si>
    <t>5.5.3</t>
  </si>
  <si>
    <t>5.5.4</t>
  </si>
  <si>
    <t>5.5.5</t>
  </si>
  <si>
    <t>CONTRATAÇÃO DE PROJETOS EXECUTIVOS</t>
  </si>
  <si>
    <t>1.1.6</t>
  </si>
  <si>
    <t>2- ADMINISTRAÇÃO LOCAL</t>
  </si>
  <si>
    <t>5- ESTAÇÃO DE TRATAMENTO DE ÁGUA (ETA)</t>
  </si>
  <si>
    <t>RESUMO</t>
  </si>
  <si>
    <t>CAPTAÇÃO - PERFURAÇÃO DO POÇO 02</t>
  </si>
  <si>
    <t>JUNTA DE DESMONTAGEM TRAVADA AXIALMENTE PN 10 DN 100</t>
  </si>
  <si>
    <t>VÁLVULA RETENÇÃO PORTINHOLA DUPLA DN 100 M</t>
  </si>
  <si>
    <t>TE EM FOFO C/ FLANGES PN 10 / 16, D= 100MM</t>
  </si>
  <si>
    <t>CURVA FOFO 45 FF DN 100 PN10</t>
  </si>
  <si>
    <t>TUBO FLANGE E PONTA FoFo PN10 L=2,50M DN100MM</t>
  </si>
  <si>
    <t>CURVA FOFO 45 JE DN 100 MM</t>
  </si>
  <si>
    <t>2021-3.2</t>
  </si>
  <si>
    <t>MOBILIZAÇÃO E DESMOBILIZAÇÃO</t>
  </si>
  <si>
    <t>MONTAGEM MECANICA - INSTALAÇÃO E DESINSTALAÇÃO DE TORRE  PERFURATRIZ, INCLUSIVE EQUIPAMENTOS AUXILIARES</t>
  </si>
  <si>
    <t>TRANSPORTE FLUVIAL E RODOVIÁRIO DE MAQUINAS E EQUIPAMENTOS PARA PERFURACAO DE POCO.</t>
  </si>
  <si>
    <t>EMBOÇO: TRAÇO 1:4(CIMENTO E AREIA), ESPESSURA 2,0 CM, PREPARO MANUAL(PARA AS PAREDES DO CIRCUITO DE LAMA)</t>
  </si>
  <si>
    <t>ESCAVAÇÃO MANUAL DO CIRCUITO DE LAMA ATÉ 1,30M, EXCLUINDO ESGOTAMENTO/ESCORAMENTO(ESCVAÇÃO MANUAL DE CIRCUITO DE LAMA</t>
  </si>
  <si>
    <t>PERFURAÇÃO DE SONDAGEM DN 12 1/4"</t>
  </si>
  <si>
    <t>3.2.3.1</t>
  </si>
  <si>
    <t>FORNECIMENTO INSTALAÇÃO DE TUBO DE BOCA DN 20" CHAPA DE ACO 6,00 MM</t>
  </si>
  <si>
    <t>ALARGAMENTO DN 18" X 22"</t>
  </si>
  <si>
    <t>PERFURAÇÃO POÇO</t>
  </si>
  <si>
    <t>ALARGAMENTO DN 12 1/4" X 15"</t>
  </si>
  <si>
    <t>ALARGAMENTO DN 15" X 18"</t>
  </si>
  <si>
    <t>SERV. DE INSTALAÇÃO DE CAP FÊMEA DE FUNDO</t>
  </si>
  <si>
    <t>DESINFECÇÃO DO POÇO</t>
  </si>
  <si>
    <t>LAJE DE PROTEÇÃO EM CONCRETO CICLÓPICO FCK = 15MPA, 30% PEDRA DE MÃO EM VOLUME REAL, INCLUSIVE LANÇAMENTO, FORMA E DESFORMA.</t>
  </si>
  <si>
    <t>2021-3.3 (CPU 4.2)</t>
  </si>
  <si>
    <t>2021-3.3 (CPU 4.15)</t>
  </si>
  <si>
    <t>2021-3.3 (CPU 4.45)</t>
  </si>
  <si>
    <t>2021-3.4</t>
  </si>
  <si>
    <t>2021-3.3 (CPU 4.6)</t>
  </si>
  <si>
    <t>2021-3.3 (CPU 4.37)</t>
  </si>
  <si>
    <t>3.2.5.2</t>
  </si>
  <si>
    <t>3.2.6.4</t>
  </si>
  <si>
    <t>3.2.7.3</t>
  </si>
  <si>
    <t>2021-3.5</t>
  </si>
  <si>
    <t>082</t>
  </si>
  <si>
    <t>008</t>
  </si>
  <si>
    <t>009</t>
  </si>
  <si>
    <t>6.30</t>
  </si>
  <si>
    <t>6.31</t>
  </si>
  <si>
    <t>2021-3.3 (CPU 4.36)</t>
  </si>
  <si>
    <t>2021-3.3 (CPU 4.20)</t>
  </si>
  <si>
    <t>2021-3.3 (CPU 4.34)</t>
  </si>
  <si>
    <t>2021-3.3 (CPU 4.5)</t>
  </si>
  <si>
    <t>2021-3.3 (CPU 4.32)</t>
  </si>
  <si>
    <t>2021-3.3 (CPU 4.4)</t>
  </si>
  <si>
    <t>2021-3.3 (CPU 4.33)</t>
  </si>
  <si>
    <t>085</t>
  </si>
  <si>
    <t>CARGA, TRANSPORTE E DESCARGA DE TUBOS E CONEXÕES DE  PVC PBA E PVC DEFOFO DN 250 MM</t>
  </si>
  <si>
    <t>086</t>
  </si>
  <si>
    <t>CARGA, TRANSPORTE E DESCARGA DE TUBOS E CONEXÕES DE  PVC PBA E PVC DEFOFO DN 300 MM</t>
  </si>
  <si>
    <t>083</t>
  </si>
  <si>
    <t>2021-3.6 (CPU 3.11)</t>
  </si>
  <si>
    <t>2021-3.6 (CPU 3.67)</t>
  </si>
  <si>
    <t>2021-3.6 (CPU 3.70)</t>
  </si>
  <si>
    <t>2021-3.6 (CPU 3.68)</t>
  </si>
  <si>
    <t>2021-3.3 (CPU 4.10)</t>
  </si>
  <si>
    <t>2021-3.3 (CPU 4.9)</t>
  </si>
  <si>
    <t>2021-3.3 (CPU 4.3)</t>
  </si>
  <si>
    <t>2021-3.3 (CPU 4.8)</t>
  </si>
  <si>
    <t>2021-3.3 (CPU 4.42)</t>
  </si>
  <si>
    <t>2021-6.0 (CPU 6.3)</t>
  </si>
  <si>
    <t>2021-3.3 (CPU 4.26)</t>
  </si>
  <si>
    <t>2021-6.0 (CPU 6.4)</t>
  </si>
  <si>
    <t>2021-3.3 (CPU 4.22)</t>
  </si>
  <si>
    <t>2021-3.3 (CPU 4.16)</t>
  </si>
  <si>
    <t>2021-3.3 (CPU 4.44)</t>
  </si>
  <si>
    <t>2021-6.0 (CPU 6.5)</t>
  </si>
  <si>
    <t>2021-7.0</t>
  </si>
  <si>
    <t>2021-3.3 (CPU 4.13)</t>
  </si>
  <si>
    <t>2021-6.0 (CPU 6.6)</t>
  </si>
  <si>
    <t>2021-8.0</t>
  </si>
  <si>
    <t>2021-6.0 (CPU 6.7)</t>
  </si>
  <si>
    <t>2021-6.0 (CPU 6.29)</t>
  </si>
  <si>
    <t>2021-6.0 (CPU 6.8)</t>
  </si>
  <si>
    <t>2021-3.3 (CPU 4.21)</t>
  </si>
  <si>
    <t>2021-10.0</t>
  </si>
  <si>
    <t>2021-6.0 (CPU 6.9)</t>
  </si>
  <si>
    <t>2021-3.3 (CPU 4.40)</t>
  </si>
  <si>
    <t>2021-3.3 (CPU 4.12)</t>
  </si>
  <si>
    <t>2021-6.0 (CPU 6.10)</t>
  </si>
  <si>
    <t>TUBO FLANGE E PONTA FoFo PN10 L=1,60M DN250MM</t>
  </si>
  <si>
    <t>2021-1.0</t>
  </si>
  <si>
    <t>ARRUELA DE VEDAÇÃO EM PTFE OU GRAFITE ESP. 1/8" DN100MM</t>
  </si>
  <si>
    <t>ARRUELA DE VEDAÇÃO EM PTFE OU GRAFITE ESP. 1/8" DN200MM</t>
  </si>
  <si>
    <t>CONJUNTO DE PARAFUSO, PORCA E ARRUELAS DE AÇO GALVANIZADO PARA JUNTAS COM FLANGES, CONFORME NBR 7675. Ø16X80 COM PORCA E ARRUELA LISA PARA JUNTAS COM FLANGE.</t>
  </si>
  <si>
    <t>CONJUNTO DE PARAFUSO, PORCA E ARRUELAS DE AÇO GALVANIZADO PARA
JUNTAS COM FLANGES, CONFORME NBR 7675. Ø20X90 COM PORCA E ARRUELA
LISA PARA JUNTAS COM FLANGE.</t>
  </si>
  <si>
    <t>2021-5.0</t>
  </si>
  <si>
    <t>2021-5.1</t>
  </si>
  <si>
    <t>3.2.11.7</t>
  </si>
  <si>
    <t>3.2.11.8</t>
  </si>
  <si>
    <t>3.2.11.9</t>
  </si>
  <si>
    <t>3.2.11.10</t>
  </si>
  <si>
    <t>3.2.11.11</t>
  </si>
  <si>
    <t>3.2.11.12</t>
  </si>
  <si>
    <t>3.2.11.13</t>
  </si>
  <si>
    <t>3.2.11.14</t>
  </si>
  <si>
    <t>3.2.11.15</t>
  </si>
  <si>
    <t>3.2.11.16</t>
  </si>
  <si>
    <t>3.2.11.17</t>
  </si>
  <si>
    <t>3.2.11.18</t>
  </si>
  <si>
    <t>3.2.11.19</t>
  </si>
  <si>
    <t>3.2.11.20</t>
  </si>
  <si>
    <t>3.2.11.21</t>
  </si>
  <si>
    <t>3.3</t>
  </si>
  <si>
    <t>3.3.1</t>
  </si>
  <si>
    <t>3.3.1.1</t>
  </si>
  <si>
    <t>3.3.1.2</t>
  </si>
  <si>
    <t>3.3.1.3</t>
  </si>
  <si>
    <t>3.3.2</t>
  </si>
  <si>
    <t>3.3.2.1</t>
  </si>
  <si>
    <t>3.3.3</t>
  </si>
  <si>
    <t>3.3.3.1</t>
  </si>
  <si>
    <t>3.3.4</t>
  </si>
  <si>
    <t>3.3.4.1</t>
  </si>
  <si>
    <t>3.3.4.2</t>
  </si>
  <si>
    <t>3.3.5</t>
  </si>
  <si>
    <t>3.3.5.1</t>
  </si>
  <si>
    <t>3.3.5.2</t>
  </si>
  <si>
    <t>3.3.6</t>
  </si>
  <si>
    <t>3.3.6.1</t>
  </si>
  <si>
    <t>3.3.6.2</t>
  </si>
  <si>
    <t>3.3.6.3</t>
  </si>
  <si>
    <t>3.3.6.4</t>
  </si>
  <si>
    <t>3.3.7</t>
  </si>
  <si>
    <t>3.3.7.1</t>
  </si>
  <si>
    <t>3.3.7.2</t>
  </si>
  <si>
    <t>3.3.7.3</t>
  </si>
  <si>
    <t>3.3.8</t>
  </si>
  <si>
    <t>3.3.8.1</t>
  </si>
  <si>
    <t>3.3.9</t>
  </si>
  <si>
    <t>3.3.9.1</t>
  </si>
  <si>
    <t>3.3.10</t>
  </si>
  <si>
    <t>3.3.10.1</t>
  </si>
  <si>
    <t>3.3.10.2</t>
  </si>
  <si>
    <t>3.3.11</t>
  </si>
  <si>
    <t>3.3.11.1</t>
  </si>
  <si>
    <t>3.3.11.2</t>
  </si>
  <si>
    <t>3.3.11.3</t>
  </si>
  <si>
    <t>3.3.11.4</t>
  </si>
  <si>
    <t>3.3.11.5</t>
  </si>
  <si>
    <t>3.3.11.6</t>
  </si>
  <si>
    <t>3.3.11.7</t>
  </si>
  <si>
    <t>3.3.11.8</t>
  </si>
  <si>
    <t>3.3.11.9</t>
  </si>
  <si>
    <t>3.3.11.10</t>
  </si>
  <si>
    <t>3.3.11.11</t>
  </si>
  <si>
    <t>3.3.11.12</t>
  </si>
  <si>
    <t>3.3.11.13</t>
  </si>
  <si>
    <t>3.3.11.14</t>
  </si>
  <si>
    <t>3.3.11.15</t>
  </si>
  <si>
    <t>3.3.11.16</t>
  </si>
  <si>
    <t>3.3.11.17</t>
  </si>
  <si>
    <t>3.3.11.18</t>
  </si>
  <si>
    <t>3.3.11.19</t>
  </si>
  <si>
    <t>3.3.11.20</t>
  </si>
  <si>
    <t>3.3.11.21</t>
  </si>
  <si>
    <t>ACESSÓRIOS</t>
  </si>
  <si>
    <t>ARRUELA DE VEDAÇÃO P/ FL DN 100 esp.=10mm</t>
  </si>
  <si>
    <t>ARRUELA DE VEDAÇÃO P/ FL DN 150 esp.=10mm</t>
  </si>
  <si>
    <t>ARRUELA DE VEDAÇÃO P/ FL DN 200 esp.=10mm</t>
  </si>
  <si>
    <t>ARRUELA DE VEDAÇÃO P/ FL DN 250 esp.=10mm</t>
  </si>
  <si>
    <t>ARRUELA DE VEDAÇÃO P/ FL DN 300 esp.=10mm</t>
  </si>
  <si>
    <t>CONJUNTO PARAFUSO, PORCA E ARRUELA DE AÇO GALVANIZADO
PARA JUNTAS COM FLANGES, CONFORME NBR 7675. DIM 20X100</t>
  </si>
  <si>
    <t>CONJUNTO PARAFUSO, PORCA E ARRUELA DE AÇO GALVANIZADO
PARA JUNTAS COM FLANGES, CONFORME NBR 7675. DIM 20X90</t>
  </si>
  <si>
    <t>CONJUNTO PARAFUSO, PORCA E ARRUELA DE AÇO GALVANIZADO
PARA JUNTAS COM FLANGES, CONFORME NBR 7675. DIM 16X80</t>
  </si>
  <si>
    <t>4.6</t>
  </si>
  <si>
    <t>4.6.1</t>
  </si>
  <si>
    <t>4.6.1.1</t>
  </si>
  <si>
    <t>4.6.1.2</t>
  </si>
  <si>
    <t>4.6.1.3</t>
  </si>
  <si>
    <t>4.6.1.4</t>
  </si>
  <si>
    <t>4.6.1.5</t>
  </si>
  <si>
    <t>4.6.1.6</t>
  </si>
  <si>
    <t>4.6.1.7</t>
  </si>
  <si>
    <t>4.6.1.8</t>
  </si>
  <si>
    <t>13.0</t>
  </si>
  <si>
    <t>ARRUELA DE VEDAÇÃO PARA FLANGES PN10 EM PAPELÃO HIDRÁULICO ESP. 1/8" DN100MM</t>
  </si>
  <si>
    <t>ARRUELA DE VEDAÇÃO PARA FLANGES PN10 EM PAPELÃO HIDRÁULICO ESP. 1/8" DN150MM</t>
  </si>
  <si>
    <t>CONJUNTO PARAFUSO, PORCA E ARRULELA DE AÇO GALV. PARA JUNTAS COM FLANGES,
CONFORME NBR 7675 Ø16x80</t>
  </si>
  <si>
    <t>CONJUNTO PARAFUSO, PORCA E ARRULELA DE AÇO GALV. PARA JUNTAS COM FLANGES,
CONFORME NBR 7675 Ø20x90</t>
  </si>
  <si>
    <t>ARRUELA DE VEDAÇÃO PARA FLANGES PN10 EM PAPELÃO HIDRÁULICO ESP. 1/8" DN200MM</t>
  </si>
  <si>
    <t>ARRUELA DE VEDAÇÃO PARA FLANGES PN10 EM PAPELÃO HIDRÁULICO ESP. 1/8" DN250MM</t>
  </si>
  <si>
    <t>2021-80</t>
  </si>
  <si>
    <t>ESCADA MARINHEIRO COM GUARDA CORPO (01 ESCADA DE 23 METROS)</t>
  </si>
  <si>
    <t>PLATAFORMA DE DESCANSO DA ESCADA MARINHEIRO</t>
  </si>
  <si>
    <t>9.4.17</t>
  </si>
  <si>
    <t>ESCADA MARINHEIRO COM GUARDA CORPO (01 ESCADA DE 6 METROS)</t>
  </si>
  <si>
    <t>9.4.18</t>
  </si>
  <si>
    <t>ORIGEM</t>
  </si>
  <si>
    <t>06015</t>
  </si>
  <si>
    <t>40.2</t>
  </si>
  <si>
    <t>40.3</t>
  </si>
  <si>
    <t>40.4</t>
  </si>
  <si>
    <t>40.5</t>
  </si>
  <si>
    <t>40.1</t>
  </si>
  <si>
    <t>40.6</t>
  </si>
  <si>
    <t>3.2.12</t>
  </si>
  <si>
    <t>3.2.12.1</t>
  </si>
  <si>
    <t>3.2.12.2</t>
  </si>
  <si>
    <t>3.2.12.3</t>
  </si>
  <si>
    <t>3.2.12.4</t>
  </si>
  <si>
    <t>3.2.12.5</t>
  </si>
  <si>
    <t>3.2.12.6</t>
  </si>
  <si>
    <t>3.2.12.7</t>
  </si>
  <si>
    <t>3.2.12.8</t>
  </si>
  <si>
    <t>3.3.12</t>
  </si>
  <si>
    <t>3.3.12.1</t>
  </si>
  <si>
    <t>3.3.12.2</t>
  </si>
  <si>
    <t>3.3.12.3</t>
  </si>
  <si>
    <t>3.3.12.4</t>
  </si>
  <si>
    <t>3.3.12.5</t>
  </si>
  <si>
    <t>3.3.12.6</t>
  </si>
  <si>
    <t>3.3.12.7</t>
  </si>
  <si>
    <t>3.3.12.8</t>
  </si>
  <si>
    <t>ASSENTAMENTO DE CONEXÃO COM 2 ACESSOS, FERRO FUNDIDO PARA REDE DE ÁGUA, DN 200 MM, JUNTA FLANGEADA (NÃO INCLUI O FORNECIMENTO). AF_09/2021 - ITENS (4.1.4.3)</t>
  </si>
  <si>
    <t>ASSENTAMENTO DE CONEXÃO COM 2 ACESSOS, FERRO FUNDIDO PARA REDE DE ÁGUA, DN 100 MM, JUNTA FLANGEADA (NÃO INCLUI O FORNECIMENTO). AF_09/2021 - ITENS (4.1.4.2)</t>
  </si>
  <si>
    <t>40.7</t>
  </si>
  <si>
    <t>ASSENTAMENTO DE CONEXÃO COM 2 ACESSOS, FERRO FUNDIDO PARA REDE DE ÁGUA, DN 300MM, JUNTA FLANGEADA (NÃO INCLUI O
FORNECIMENTO). AF_09/2021</t>
  </si>
  <si>
    <t>40.8</t>
  </si>
  <si>
    <t>ASSENTAMENTO DE TUBO DE FERRO FUNDIDO PARA REDE DE ÁGUA, DN 300 MM, JUNTA FLANGEADA (NÃO INCLUI O FORNECIMENTO). AF_09/2021</t>
  </si>
  <si>
    <t>ASSENTAMENTO DE CONEXÃO COM 2 ACESSOS, FERRO FUNDIDO PARA REDE DE ÁGUA, DN 250MM, JUNTA FLANGEADA (NÃO INCLUI O FORNECIMENTO). AF_09/2021</t>
  </si>
  <si>
    <t>40.9</t>
  </si>
  <si>
    <t>40.10</t>
  </si>
  <si>
    <t>ASSENTAMENTO DE TUBO DE FERRO FUNDIDO PARA REDE DE ÁGUA, DN 250 MM, JUNTA FLANGEADA (NÃO INCLUI O FORNECIMENTO). AF_09/2021</t>
  </si>
  <si>
    <t>40.11</t>
  </si>
  <si>
    <t>ASSENTAMENTO DE TUBO DE FERRO FUNDIDO PARA REDE DE ÁGUA, DN 150 MM, JUNTA FLANGEADA (NÃO INCLUI O FORNECIMENTO). AF_09/2021</t>
  </si>
  <si>
    <t>40.12</t>
  </si>
  <si>
    <t>ASSENTAMENTO DE CONEXÃO COM 2 ACESSOS, FERRO FUNDIDO PARA REDE DE ÁGUA, DN 150MM, JUNTA FLANGEADA (NÃO INCLUI O FORNECIMENTO). AF_09/2021</t>
  </si>
  <si>
    <t>40.13</t>
  </si>
  <si>
    <t>ASSENTAMENTO DE CONEXÃO COM 3 ACESSOS, FERRO FUNDIDO PARA REDE DE ÁGUA, DN 150MM, JUNTA FLANGEADA (NÃO INCLUI O FORNECIMENTO). AF_09/2021</t>
  </si>
  <si>
    <t>40.14</t>
  </si>
  <si>
    <t>ASSENTAMENTO DE CONEXÃO COM 3 ACESSOS, FERRO FUNDIDO PARA REDE DE ÁGUA, DN 200MM,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</si>
  <si>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</si>
  <si>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300MM, JUNTA FLANGEADA (NÃO INCLUI O FORNECIMENTO). AF_09/2021</t>
  </si>
  <si>
    <t>40.15</t>
  </si>
  <si>
    <t>40.16</t>
  </si>
  <si>
    <t>ASSENTAMENTO DE CONEXÃO COM1 ACESSO, FERRO FUNDIDO PARA REDE DE ÁGUA, DN 150MM, JUNTA FLANGEADA (NÃO INCLUI O FORNECIMENTO). AF_09/2021</t>
  </si>
  <si>
    <t>40.17</t>
  </si>
  <si>
    <t>ASSENTAMENTO DE CONEXÃO COM1 ACESSO, FERRO FUNDIDO PARA REDE DE ÁGUA, DN 250MM, JUNTA FLANGEADA (NÃO INCLUI O FORNECIMENTO). AF_09/2021</t>
  </si>
  <si>
    <t>ASSENTAMENTO DE CONEXÃO COM 1 ACESSO, FERRO FUNDIDO PARA REDE DE ÁGUA, DN 100MM, JUNTA FLANGEADA (NÃO INCLUI O FORNECIMENTO). AF_09/2021</t>
  </si>
  <si>
    <t>40.18</t>
  </si>
  <si>
    <t xml:space="preserve"> BOMBA CENTRÍFUGA, TRIFÁSICA, 15 CV OU 15 HP, HM 25 M, Q 55 M3/H (NÃO INCLUI O FORNECIMENTO DA BOMBA)</t>
  </si>
  <si>
    <t>ASSENTAMENTO DE CONEXÃO COM 1 ACESSO, FERRO FUNDIDO PARA REDE DE ÁGUA, DN 150MM, JUNTA FLANGEADA (NÃO INCLUI O FORNECIMENTO). AF_09/2021</t>
  </si>
  <si>
    <t>ASSENTAMENTO DE TUBO DE FERRO FUNDIDO PARA REDE DE ÁGUA, DN 100 MM, JUNTA FLANGEADA (NÃO INCLUI O FORNECIMENTO). AF_09/2021</t>
  </si>
  <si>
    <t>ASSENTAMENTO DE CONEXÃO COM 2 ACESSOS, FERRO FUNDIDO PARA REDE DE ÁGUA, DN 200 MM, JUNTA FLANGEADA (NÃO INCLUI O FORNECIMENTO). AF_09/2021</t>
  </si>
  <si>
    <t>40.19</t>
  </si>
  <si>
    <t>ASSENTAMENTO DE CONEXÃO COM 3 ACESSOS, FERRO FUNDIDO PARA REDE DE ÁGUA, DN 250MM, JUNTA FLANGEADA (NÃO INCLUI O FORNECIMENTO). AF_09/2021</t>
  </si>
  <si>
    <t>ASSENTAMENTO DE CONEXÃO COM 1 ACESSO, FERRO FUNDIDO PARA REDE DE ÁGUA, DN 250MM, JUNTA FLANGEADA (NÃO INCLUI O FORNECIMENTO). AF_09/2021</t>
  </si>
  <si>
    <t>40.20</t>
  </si>
  <si>
    <t xml:space="preserve"> BOMBA CENTRÍFUGA, TRIFÁSICA, 15 CV OU 15 HP, HM 11 M, Q 234 M3/H (NÃO INCLUI O FORNECIMENTO DA BOMBA)</t>
  </si>
  <si>
    <t>ARRUELA DE VEDAÇÃO PARA FLANGES PN10 EM PAPELÃO HIDRÁULICO ESP. 1/8" DN 100MM</t>
  </si>
  <si>
    <t>ARRUELA DE VEDAÇÃO PARA FLANGES PN10 EM PAPELÃO HIDRÁULICO ESP. 1/8" DN 150MM</t>
  </si>
  <si>
    <t>ARRUELA DE VEDAÇÃO PARA FLANGES PN10 EM PAPELÃO HIDRÁULICO ESP. 1/8" DN 200MM</t>
  </si>
  <si>
    <t>CONJUNTO PARAFUSO, PORCA E ARRULELA DE AÇO GALV. PARA JUNTAS COM FLANGES, CONFORME NBR 7675 Ø16x80</t>
  </si>
  <si>
    <t>CONJUNTO PARAFUSO, PORCA E ARRULELA DE AÇO GALV. PARA JUNTAS COM FLANGES, CONFORME NBR 7675 Ø20x90</t>
  </si>
  <si>
    <t>9.9.1.34</t>
  </si>
  <si>
    <t>9.9.1.35</t>
  </si>
  <si>
    <t>9.9.1.36</t>
  </si>
  <si>
    <t>9.9.1.37</t>
  </si>
  <si>
    <t>9.9.1.38</t>
  </si>
  <si>
    <t>40.21</t>
  </si>
  <si>
    <t>ASSENTAMENTO DE TUBO DE FERRO FUNDIDO PARA REDE DE ÁGUA, DN 200 MM, JUNTA FLANGEADA (NÃO INCLUI O FORNECIMENTO). AF_09/2021</t>
  </si>
  <si>
    <t>40.22</t>
  </si>
  <si>
    <t>ASSENTAMENTO DE CONEXÃO COM 1 ACESSOS, FERRO FUNDIDO PARA REDE DE ÁGUA, DN 250MM, JUNTA FLANGEADA (NÃO INCLUI O FORNECIMENTO). AF_09/2021</t>
  </si>
  <si>
    <t>06046</t>
  </si>
  <si>
    <t>06040</t>
  </si>
  <si>
    <t>06041</t>
  </si>
  <si>
    <t>06050</t>
  </si>
  <si>
    <t>MÊS</t>
  </si>
  <si>
    <t>ALMOXARIFE (MENSALISTA)</t>
  </si>
  <si>
    <t>ENGENHEIRO CIVIL DE OBRA PLENO COM ENCARGOS COMPLEMENTARES</t>
  </si>
  <si>
    <t>VIGIA DIURNO COM ENCARGOS COMPLEMENTARES</t>
  </si>
  <si>
    <t>AUXILIAR TÉCNICO / ASSISTENTE DE ENGENHARIA COM ENCARGOS COMPLEMENTARES</t>
  </si>
  <si>
    <t>PLACA DE OBRA EM CHAPA AÇO GALVANIZADO, INSTALADA</t>
  </si>
  <si>
    <t>7.4.2.2</t>
  </si>
  <si>
    <t>7.4.2.3</t>
  </si>
  <si>
    <t>7.4.2.4</t>
  </si>
  <si>
    <t>7.4.2.5</t>
  </si>
  <si>
    <t>7.4.2.7</t>
  </si>
  <si>
    <t>7.4.2.8</t>
  </si>
  <si>
    <t>7.4.2.9</t>
  </si>
  <si>
    <t>7.4.2.10</t>
  </si>
  <si>
    <t>7.4.2.11</t>
  </si>
  <si>
    <t>7.4.1.27</t>
  </si>
  <si>
    <t>7.4.1.28</t>
  </si>
  <si>
    <t>7.4.1.29</t>
  </si>
  <si>
    <t>7.4.1.25</t>
  </si>
  <si>
    <t>7.3.1.21</t>
  </si>
  <si>
    <t>7.3.1.22</t>
  </si>
  <si>
    <t>7.3.1.23</t>
  </si>
  <si>
    <t>7.3.1.24</t>
  </si>
  <si>
    <t>05336</t>
  </si>
  <si>
    <t>03270</t>
  </si>
  <si>
    <t>05708</t>
  </si>
  <si>
    <t>05705</t>
  </si>
  <si>
    <t>05724</t>
  </si>
  <si>
    <t>05733</t>
  </si>
  <si>
    <t>05559</t>
  </si>
  <si>
    <t>7.3.2.2</t>
  </si>
  <si>
    <t>7.3.2.3</t>
  </si>
  <si>
    <t>7.3.2.4</t>
  </si>
  <si>
    <t>7.3.2.5</t>
  </si>
  <si>
    <t>7.3.2.7</t>
  </si>
  <si>
    <t>7.3.2.8</t>
  </si>
  <si>
    <t>7.3.2.9</t>
  </si>
  <si>
    <t>7.3.2.10</t>
  </si>
  <si>
    <t>7.3.2.11</t>
  </si>
  <si>
    <t>05525</t>
  </si>
  <si>
    <t>9.9.2.1</t>
  </si>
  <si>
    <t>9.9.2.2</t>
  </si>
  <si>
    <t>9.9.2.3</t>
  </si>
  <si>
    <t>9.9.2.4</t>
  </si>
  <si>
    <t>9.9.2.5</t>
  </si>
  <si>
    <t>9.9.2.6</t>
  </si>
  <si>
    <t>9.9.2.7</t>
  </si>
  <si>
    <t>9.9.2.8</t>
  </si>
  <si>
    <t>9.9.2.9</t>
  </si>
  <si>
    <t>9.9.2.10</t>
  </si>
  <si>
    <t>9.9.2.11</t>
  </si>
  <si>
    <t>9.9.2.12</t>
  </si>
  <si>
    <t>05722</t>
  </si>
  <si>
    <t>35.1</t>
  </si>
  <si>
    <t>ENTRADA PROVISORIA DE ENERGIA ELETRICA AEREA TRIFASICA 50A EM POSTE MADEIRA</t>
  </si>
  <si>
    <t>ASSENTAMENTO DE MANGOTE FLEXIVEL DN 4" PARA INSTALACAO EM POCO PROFUNDO CONSTRUIDA COM TRAMA EM POLIESTER MAIS POLIAMIDA DE ALTA TENACIDADE PRESSAO DE TRABALHO 25 KG/CM2 E RUPTURA 50 KG/CM2</t>
  </si>
  <si>
    <t>ASSENTAMENTO DE CONEXÃO COM 3 ACESSOS, FERRO FUNDIDO PARA REDE DE ÁGUA, DN 100MM, JUNTA FLANGEADA (NÃO INCLUI O FORNECIMENTO). AF_09/2021</t>
  </si>
  <si>
    <t>MOTO BOMBA SUBMERSÍVEL DE 30 CV, HM40 M (NÃO INCLUI O FORNECIMENTO DA BOMBA)</t>
  </si>
  <si>
    <t>2021-70.0</t>
  </si>
  <si>
    <t>05874</t>
  </si>
  <si>
    <t>MÊS 13</t>
  </si>
  <si>
    <t>MÊS 14</t>
  </si>
  <si>
    <t>MÊS 15</t>
  </si>
  <si>
    <t>MÊS 16</t>
  </si>
  <si>
    <t>MÊS 17</t>
  </si>
  <si>
    <t>MÊS 18</t>
  </si>
  <si>
    <t>2.5</t>
  </si>
  <si>
    <t>2.6</t>
  </si>
  <si>
    <t>3.3.13</t>
  </si>
  <si>
    <t>3.3.13.1</t>
  </si>
  <si>
    <t>2021-3.3 (CPU 4.46)</t>
  </si>
  <si>
    <t xml:space="preserve"> MOTO BOMBA SUBMERSÍVEL DE 30 CV, HM40 M (NÃO INCLUI O FORNECIMENTO DA BOMBA</t>
  </si>
  <si>
    <t>2021-9.0</t>
  </si>
  <si>
    <t>2021-3.3 (CPU04.8)</t>
  </si>
  <si>
    <t>2021-3.3 (CPU04.2)</t>
  </si>
  <si>
    <t>2021-3.3 (CPU04.28)</t>
  </si>
  <si>
    <t>2021-3.3 (CPU04.7)</t>
  </si>
  <si>
    <t>2021-3.3 (CPU04.36)</t>
  </si>
  <si>
    <t>2021-3.3 (CPU04.18)</t>
  </si>
  <si>
    <t>2021-3.3 (CPU04.26)</t>
  </si>
  <si>
    <t>2021-3.3 (CPU04.33)</t>
  </si>
  <si>
    <t>2021-3.3 (CPU04.3)</t>
  </si>
  <si>
    <t>2021-22.0</t>
  </si>
  <si>
    <t>4.3.5.3</t>
  </si>
  <si>
    <t>4.4.5.3</t>
  </si>
  <si>
    <t>7.4.1.20</t>
  </si>
  <si>
    <t>2021-19.0</t>
  </si>
  <si>
    <t>2021-6.0 (CPU-6.1)</t>
  </si>
  <si>
    <t>2021-6.0 (CPU-6.2)</t>
  </si>
  <si>
    <t>2021-6.0 (CPU06.12)</t>
  </si>
  <si>
    <t>2021-6.0 (CPU06.13)</t>
  </si>
  <si>
    <t>2021-6.0 (CPU06.14)</t>
  </si>
  <si>
    <t>2021-6.0 (CPU06.15)</t>
  </si>
  <si>
    <t>2021-6.0 (CPU06.21)</t>
  </si>
  <si>
    <t>2021-6.0 (CPU06.22)</t>
  </si>
  <si>
    <t>2021-6.0 (CPU06.16)</t>
  </si>
  <si>
    <t>2021-6.0 (CPU06.23)</t>
  </si>
  <si>
    <t>2021-6.0 (CPU06.17)</t>
  </si>
  <si>
    <t>2021-6.0 (CPU06.18)</t>
  </si>
  <si>
    <t>2021-6.0 (CPU06.24)</t>
  </si>
  <si>
    <t>2021-6.0 (CPU06.25)</t>
  </si>
  <si>
    <t>2021-6.0 (CPU06.19)</t>
  </si>
  <si>
    <t>2021-6.0 (CPU06.20)</t>
  </si>
  <si>
    <t>2021-3.3 (CPU04.35)</t>
  </si>
  <si>
    <t>2021-3.3 (CPU-4.34)</t>
  </si>
  <si>
    <t>2021-3.3 (CPU-4.5)</t>
  </si>
  <si>
    <t>7.1.2.7</t>
  </si>
  <si>
    <t>ALVENARIA DE VEDAÇÃO DE BLOCOS VAZADOS DE CONCRETO DE 9X19X39CM (ESPESSURA 9CM) DE PAREDES COM ÁREA LÍQUIDA MENOR QUE 6M² SEM VÃOS E ARGAMASSA DE ASSENTAMENTO COM PREPARO EM BETONEIRA. AF_06/2014</t>
  </si>
  <si>
    <t>SINAPI-10/2021</t>
  </si>
  <si>
    <t>16.176,96</t>
  </si>
  <si>
    <t>3.116,03</t>
  </si>
  <si>
    <t>5.179,39</t>
  </si>
  <si>
    <t>3.124,54</t>
  </si>
  <si>
    <t>1,09</t>
  </si>
  <si>
    <t>03</t>
  </si>
  <si>
    <t>SEDOP</t>
  </si>
  <si>
    <t>OUT.2021</t>
  </si>
  <si>
    <t>EXECUÇÃO DE REFEITÓRIO EM CANTEIRO DE OBRA EM CHAPA DE MADEIRA COMPENSADA, NÃO INCLUSO MOBILIÁRIO E EQUIPAMENTOS. AF_02/2016</t>
  </si>
  <si>
    <t>EXECUÇÃO DE SANITÁRIO E VESTIÁRIO EM CANTEIRO DE OBRA EM CHAPA DE MADEIRA COMPENSADA, NÃO INCLUSO MOBILIÁRIO. AF_02/2016</t>
  </si>
  <si>
    <t>EXECUÇÃO DE ALMOXARIFADO EM CANTEIRO DE OBRAEM CHAPA DE MADEIRA COMPENSADA, INCLUSO PRATELEIRAS. AF_02/2016</t>
  </si>
  <si>
    <t>1.2.11</t>
  </si>
  <si>
    <t>00044480</t>
  </si>
  <si>
    <t>EXECUÇÃO DE ESCRITÓRIO EM CANTEIRO DE OBRA EM CHAPA DE MADEIRA COMPENSADA, NÃO INCLUSO MOBILIÁRIO E EQUIPAMENTOS. AF_02/2016</t>
  </si>
  <si>
    <t>1.2.7</t>
  </si>
  <si>
    <t>1.2.12</t>
  </si>
  <si>
    <t>SINAPI-10/2022</t>
  </si>
  <si>
    <t>EXECUÇÃO DE RESERVATÓRIO ELEVADO DE ÁGUA (1000 LITROS) EM CANTEIRO DEOBRA, APOIADO EM ESTRUTURA DE MADEIRA. AF_02/2016</t>
  </si>
  <si>
    <t>ESCAVAÇÃO MANUAL DO CIRCUITO DE LAMA ATÉ 1,30M, EXCLUINDO ESGOTAMENTO/ESCORAMENTO</t>
  </si>
  <si>
    <t>1. Utilizou-se BDI equivalente a 30,05% também para Insumos</t>
  </si>
  <si>
    <t>BDI recalculado em 19,90%</t>
  </si>
  <si>
    <t xml:space="preserve">  SISTEMA DE ABASTECIMENTO DE ÁGUA  - CRONOGRAMA FÍSICO-FINANCEIRO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</si>
</sst>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quot;R$&quot;* #,##0.00_-;\-&quot;R$&quot;* #,##0.00_-;_-&quot;R$&quot;* &quot;-&quot;??_-;_-@_-"/>
    <numFmt numFmtId="165" formatCode="[$-416]mmm\-yy"/>
    <numFmt numFmtId="166" formatCode="_(&quot;R$ &quot;* #,##0.00_);_(&quot;R$ &quot;* \(#,##0.00\);_(&quot;R$ &quot;* &quot;-&quot;??_);_(@_)"/>
    <numFmt numFmtId="167" formatCode="_(* #,##0.00_);_(* \(#,##0.00\);_(* &quot;-&quot;??_);_(@_)"/>
    <numFmt numFmtId="168" formatCode="_-* #,##0.00_-;\-* #,##0.00_-;_-* &quot;-&quot;??_-;_-@"/>
    <numFmt numFmtId="169" formatCode="0.000"/>
    <numFmt numFmtId="170" formatCode="General_)"/>
    <numFmt numFmtId="171" formatCode="[$-416]mmmm\-yy"/>
  </numFmts>
  <fonts count="39" x14ac:knownFonts="1">
    <font>
      <sz val="10"/>
      <color rgb="FF000000"/>
      <name val="Arial"/>
    </font>
    <font>
      <sz val="12"/>
      <name val="Arial"/>
      <family val="2"/>
    </font>
    <font>
      <sz val="10"/>
      <name val="Arial"/>
      <family val="2"/>
    </font>
    <font>
      <b/>
      <i/>
      <sz val="12"/>
      <name val="Arial"/>
      <family val="2"/>
    </font>
    <font>
      <b/>
      <sz val="12"/>
      <name val="Arial"/>
      <family val="2"/>
    </font>
    <font>
      <sz val="10"/>
      <name val="Arial"/>
      <family val="2"/>
    </font>
    <font>
      <sz val="11"/>
      <name val="Arial"/>
      <family val="2"/>
    </font>
    <font>
      <sz val="12"/>
      <color rgb="FFFF0000"/>
      <name val="Arial"/>
      <family val="2"/>
    </font>
    <font>
      <sz val="11"/>
      <color rgb="FF800080"/>
      <name val="Calibri"/>
      <family val="2"/>
    </font>
    <font>
      <sz val="11"/>
      <color rgb="FF993300"/>
      <name val="Calibri"/>
      <family val="2"/>
    </font>
    <font>
      <sz val="12"/>
      <name val="Times New Roman"/>
      <family val="1"/>
    </font>
    <font>
      <sz val="8"/>
      <name val="Arial"/>
      <family val="2"/>
    </font>
    <font>
      <b/>
      <sz val="10"/>
      <name val="Arial"/>
      <family val="2"/>
    </font>
    <font>
      <sz val="10"/>
      <name val="Times New Roman"/>
      <family val="1"/>
    </font>
    <font>
      <b/>
      <sz val="9"/>
      <name val="Arial"/>
      <family val="2"/>
    </font>
    <font>
      <sz val="9"/>
      <name val="Arial"/>
      <family val="2"/>
    </font>
    <font>
      <sz val="10"/>
      <name val="Tahoma"/>
      <family val="2"/>
    </font>
    <font>
      <b/>
      <sz val="8"/>
      <name val="Arial"/>
      <family val="2"/>
    </font>
    <font>
      <b/>
      <sz val="10"/>
      <color rgb="FF000000"/>
      <name val="Arial"/>
      <family val="2"/>
    </font>
    <font>
      <b/>
      <sz val="11"/>
      <color rgb="FF000000"/>
      <name val="Calibri"/>
      <family val="2"/>
    </font>
    <font>
      <b/>
      <u/>
      <sz val="11"/>
      <color rgb="FF000000"/>
      <name val="Calibri"/>
      <family val="2"/>
    </font>
    <font>
      <i/>
      <sz val="11"/>
      <color rgb="FF000000"/>
      <name val="Calibri"/>
      <family val="2"/>
    </font>
    <font>
      <b/>
      <u/>
      <sz val="11"/>
      <color rgb="FF000000"/>
      <name val="Calibri"/>
      <family val="2"/>
    </font>
    <font>
      <i/>
      <sz val="11"/>
      <color rgb="FF000000"/>
      <name val="Times New Roman"/>
      <family val="1"/>
    </font>
    <font>
      <sz val="10"/>
      <color rgb="FF000000"/>
      <name val="Arial"/>
      <family val="2"/>
    </font>
    <font>
      <sz val="10"/>
      <color rgb="FF3333FF"/>
      <name val="Arial"/>
      <family val="2"/>
    </font>
    <font>
      <sz val="10"/>
      <color rgb="FFFF0000"/>
      <name val="Arial"/>
      <family val="2"/>
    </font>
    <font>
      <sz val="10"/>
      <color rgb="FF000000"/>
      <name val="Arial"/>
      <family val="2"/>
    </font>
    <font>
      <b/>
      <sz val="11"/>
      <name val="Arial"/>
      <family val="2"/>
    </font>
    <font>
      <sz val="10"/>
      <color rgb="FF000000"/>
      <name val="Times New Roman"/>
      <family val="1"/>
    </font>
    <font>
      <sz val="14"/>
      <color rgb="FF000000"/>
      <name val="Arial"/>
      <family val="2"/>
    </font>
    <font>
      <sz val="11"/>
      <color indexed="8"/>
      <name val="Calibri"/>
      <family val="2"/>
    </font>
    <font>
      <b/>
      <sz val="10"/>
      <color rgb="FF3333FF"/>
      <name val="Arial"/>
      <family val="2"/>
    </font>
    <font>
      <b/>
      <sz val="10"/>
      <name val="Times New Roman"/>
      <family val="1"/>
    </font>
    <font>
      <sz val="10"/>
      <color rgb="FFFF0000"/>
      <name val="Times New Roman"/>
      <family val="1"/>
    </font>
    <font>
      <sz val="10"/>
      <color rgb="FF000000"/>
      <name val="Arial"/>
      <family val="2"/>
    </font>
    <font>
      <sz val="8"/>
      <color rgb="FF000000"/>
      <name val="Arial"/>
      <family val="2"/>
    </font>
    <font>
      <sz val="8"/>
      <name val="Times New Roman"/>
      <family val="1"/>
    </font>
    <font>
      <b/>
      <sz val="11"/>
      <color rgb="FF3333FF"/>
      <name val="Arial"/>
      <family val="2"/>
    </font>
  </fonts>
  <fills count="13">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FF99CC"/>
        <bgColor rgb="FFFF99CC"/>
      </patternFill>
    </fill>
    <fill>
      <patternFill patternType="solid">
        <fgColor rgb="FFFFFF99"/>
        <bgColor rgb="FFFFFF99"/>
      </patternFill>
    </fill>
    <fill>
      <patternFill patternType="solid">
        <fgColor rgb="FFC0C0C0"/>
        <bgColor rgb="FFC0C0C0"/>
      </patternFill>
    </fill>
    <fill>
      <patternFill patternType="solid">
        <fgColor rgb="FFFFCC00"/>
        <bgColor rgb="FFFFCC00"/>
      </patternFill>
    </fill>
    <fill>
      <patternFill patternType="solid">
        <fgColor rgb="FFFFCC99"/>
        <bgColor rgb="FFFFCC99"/>
      </patternFill>
    </fill>
    <fill>
      <patternFill patternType="solid">
        <fgColor rgb="FF92CDDC"/>
        <bgColor rgb="FF92CDDC"/>
      </patternFill>
    </fill>
    <fill>
      <patternFill patternType="solid">
        <fgColor rgb="FF969696"/>
        <bgColor rgb="FF969696"/>
      </patternFill>
    </fill>
    <fill>
      <patternFill patternType="solid">
        <fgColor theme="4" tint="0.59999389629810485"/>
        <bgColor indexed="64"/>
      </patternFill>
    </fill>
    <fill>
      <patternFill patternType="solid">
        <fgColor theme="0" tint="-0.14999847407452621"/>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double">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double">
        <color rgb="FF000000"/>
      </right>
      <top/>
      <bottom/>
      <diagonal/>
    </border>
    <border>
      <left/>
      <right style="thin">
        <color rgb="FF000000"/>
      </right>
      <top style="double">
        <color rgb="FF000000"/>
      </top>
      <bottom style="thin">
        <color rgb="FF000000"/>
      </bottom>
      <diagonal/>
    </border>
    <border>
      <left style="thin">
        <color rgb="FF000000"/>
      </left>
      <right style="double">
        <color rgb="FF000000"/>
      </right>
      <top style="thin">
        <color rgb="FF000000"/>
      </top>
      <bottom/>
      <diagonal/>
    </border>
    <border>
      <left style="double">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double">
        <color rgb="FF000000"/>
      </right>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23">
    <xf numFmtId="0" fontId="0" fillId="0" borderId="0"/>
    <xf numFmtId="43" fontId="27" fillId="0" borderId="0" applyFont="0" applyFill="0" applyBorder="0" applyAlignment="0" applyProtection="0"/>
    <xf numFmtId="0" fontId="29" fillId="0" borderId="16"/>
    <xf numFmtId="0" fontId="2" fillId="0" borderId="16"/>
    <xf numFmtId="0" fontId="2" fillId="0" borderId="16"/>
    <xf numFmtId="44" fontId="31" fillId="0" borderId="16" applyFont="0" applyFill="0" applyBorder="0" applyAlignment="0" applyProtection="0"/>
    <xf numFmtId="0" fontId="31" fillId="0" borderId="16"/>
    <xf numFmtId="0" fontId="24" fillId="0" borderId="16"/>
    <xf numFmtId="164" fontId="24" fillId="0" borderId="16" applyFont="0" applyFill="0" applyBorder="0" applyAlignment="0" applyProtection="0"/>
    <xf numFmtId="43" fontId="24" fillId="0" borderId="16" applyFont="0" applyFill="0" applyBorder="0" applyAlignment="0" applyProtection="0"/>
    <xf numFmtId="164" fontId="24" fillId="0" borderId="16" applyFont="0" applyFill="0" applyBorder="0" applyAlignment="0" applyProtection="0"/>
    <xf numFmtId="43" fontId="24" fillId="0" borderId="16" applyFont="0" applyFill="0" applyBorder="0" applyAlignment="0" applyProtection="0"/>
    <xf numFmtId="164" fontId="24" fillId="0" borderId="16" applyFont="0" applyFill="0" applyBorder="0" applyAlignment="0" applyProtection="0"/>
    <xf numFmtId="43" fontId="24" fillId="0" borderId="16" applyFont="0" applyFill="0" applyBorder="0" applyAlignment="0" applyProtection="0"/>
    <xf numFmtId="9" fontId="35" fillId="0" borderId="0" applyFont="0" applyFill="0" applyBorder="0" applyAlignment="0" applyProtection="0"/>
    <xf numFmtId="164" fontId="24" fillId="0" borderId="16" applyFont="0" applyFill="0" applyBorder="0" applyAlignment="0" applyProtection="0"/>
    <xf numFmtId="43" fontId="24" fillId="0" borderId="16" applyFont="0" applyFill="0" applyBorder="0" applyAlignment="0" applyProtection="0"/>
    <xf numFmtId="164" fontId="24" fillId="0" borderId="16" applyFont="0" applyFill="0" applyBorder="0" applyAlignment="0" applyProtection="0"/>
    <xf numFmtId="43" fontId="24" fillId="0" borderId="16" applyFont="0" applyFill="0" applyBorder="0" applyAlignment="0" applyProtection="0"/>
    <xf numFmtId="164" fontId="24" fillId="0" borderId="16" applyFont="0" applyFill="0" applyBorder="0" applyAlignment="0" applyProtection="0"/>
    <xf numFmtId="43" fontId="24" fillId="0" borderId="16" applyFont="0" applyFill="0" applyBorder="0" applyAlignment="0" applyProtection="0"/>
    <xf numFmtId="164" fontId="24" fillId="0" borderId="16" applyFont="0" applyFill="0" applyBorder="0" applyAlignment="0" applyProtection="0"/>
    <xf numFmtId="43" fontId="24" fillId="0" borderId="16" applyFont="0" applyFill="0" applyBorder="0" applyAlignment="0" applyProtection="0"/>
  </cellStyleXfs>
  <cellXfs count="393">
    <xf numFmtId="0" fontId="0" fillId="0" borderId="0" xfId="0" applyFont="1" applyAlignment="1"/>
    <xf numFmtId="0" fontId="1" fillId="0" borderId="1" xfId="0" applyFont="1" applyBorder="1" applyAlignment="1">
      <alignment horizontal="left"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1" fillId="0" borderId="0" xfId="0" applyFont="1" applyAlignment="1"/>
    <xf numFmtId="0" fontId="3" fillId="0" borderId="0" xfId="0" applyFont="1" applyAlignment="1">
      <alignment vertical="center" wrapText="1"/>
    </xf>
    <xf numFmtId="0" fontId="3" fillId="0" borderId="9" xfId="0" applyFont="1" applyBorder="1" applyAlignment="1">
      <alignment vertical="center" wrapText="1"/>
    </xf>
    <xf numFmtId="2" fontId="1" fillId="0" borderId="1" xfId="0" applyNumberFormat="1" applyFont="1" applyBorder="1" applyAlignment="1">
      <alignment horizontal="left" vertical="center"/>
    </xf>
    <xf numFmtId="0" fontId="3" fillId="0" borderId="12" xfId="0" applyFont="1" applyBorder="1" applyAlignment="1">
      <alignment vertical="center" wrapText="1"/>
    </xf>
    <xf numFmtId="0" fontId="3" fillId="0" borderId="11" xfId="0" applyFont="1" applyBorder="1" applyAlignment="1">
      <alignment vertical="center" wrapText="1"/>
    </xf>
    <xf numFmtId="0" fontId="1" fillId="0" borderId="0" xfId="0" applyFont="1" applyAlignment="1">
      <alignment vertical="center"/>
    </xf>
    <xf numFmtId="0" fontId="5" fillId="0" borderId="0" xfId="0" applyFont="1" applyAlignment="1"/>
    <xf numFmtId="0" fontId="1" fillId="0" borderId="8" xfId="0" applyFont="1" applyBorder="1" applyAlignment="1">
      <alignment vertical="center"/>
    </xf>
    <xf numFmtId="10" fontId="1" fillId="0" borderId="1" xfId="0" applyNumberFormat="1" applyFont="1" applyBorder="1" applyAlignment="1">
      <alignment horizontal="center"/>
    </xf>
    <xf numFmtId="0" fontId="1" fillId="0" borderId="8" xfId="0" applyFont="1" applyBorder="1" applyAlignment="1">
      <alignment vertical="center" wrapText="1"/>
    </xf>
    <xf numFmtId="0" fontId="4" fillId="0" borderId="1" xfId="0" applyFont="1" applyBorder="1" applyAlignment="1">
      <alignment horizontal="center" vertical="center"/>
    </xf>
    <xf numFmtId="0" fontId="5" fillId="0" borderId="0" xfId="0" applyFont="1" applyAlignment="1">
      <alignment horizontal="center"/>
    </xf>
    <xf numFmtId="0" fontId="1" fillId="0" borderId="0" xfId="0" applyFont="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10" fontId="6" fillId="0" borderId="0" xfId="0" applyNumberFormat="1" applyFont="1" applyAlignment="1">
      <alignment horizontal="center"/>
    </xf>
    <xf numFmtId="167" fontId="1" fillId="0" borderId="0" xfId="0" applyNumberFormat="1" applyFont="1" applyAlignment="1">
      <alignment horizontal="center"/>
    </xf>
    <xf numFmtId="167" fontId="1" fillId="0" borderId="0" xfId="0" applyNumberFormat="1" applyFont="1" applyAlignment="1"/>
    <xf numFmtId="4" fontId="4" fillId="0" borderId="0" xfId="0" applyNumberFormat="1" applyFont="1" applyAlignment="1">
      <alignment horizontal="right"/>
    </xf>
    <xf numFmtId="2" fontId="1" fillId="0" borderId="0" xfId="0" applyNumberFormat="1" applyFont="1" applyAlignment="1"/>
    <xf numFmtId="168" fontId="1" fillId="0" borderId="0" xfId="0" applyNumberFormat="1" applyFont="1" applyAlignment="1"/>
    <xf numFmtId="4" fontId="1" fillId="0" borderId="0" xfId="0" applyNumberFormat="1" applyFont="1" applyAlignment="1"/>
    <xf numFmtId="167" fontId="7" fillId="0" borderId="0" xfId="0" applyNumberFormat="1" applyFont="1" applyAlignment="1"/>
    <xf numFmtId="167" fontId="6" fillId="0" borderId="0" xfId="0" applyNumberFormat="1" applyFont="1" applyAlignment="1"/>
    <xf numFmtId="0" fontId="1" fillId="0" borderId="0" xfId="0" applyFont="1" applyAlignment="1">
      <alignment horizontal="left" vertical="center" wrapText="1"/>
    </xf>
    <xf numFmtId="3" fontId="1" fillId="0" borderId="0" xfId="0" applyNumberFormat="1" applyFont="1" applyAlignment="1">
      <alignment horizontal="center"/>
    </xf>
    <xf numFmtId="4" fontId="1" fillId="0" borderId="0" xfId="0" applyNumberFormat="1" applyFont="1" applyAlignment="1">
      <alignment horizontal="center"/>
    </xf>
    <xf numFmtId="0" fontId="6" fillId="0" borderId="0" xfId="0" applyFont="1" applyAlignment="1"/>
    <xf numFmtId="166" fontId="1" fillId="0" borderId="0" xfId="0" applyNumberFormat="1" applyFont="1" applyAlignment="1"/>
    <xf numFmtId="0" fontId="1" fillId="0" borderId="0" xfId="0" applyFont="1" applyAlignment="1">
      <alignment horizontal="center" vertical="center"/>
    </xf>
    <xf numFmtId="3" fontId="8" fillId="4" borderId="13" xfId="0" applyNumberFormat="1" applyFont="1" applyFill="1" applyBorder="1" applyAlignment="1"/>
    <xf numFmtId="4" fontId="8" fillId="4" borderId="13" xfId="0" applyNumberFormat="1" applyFont="1" applyFill="1" applyBorder="1" applyAlignment="1">
      <alignment horizontal="left"/>
    </xf>
    <xf numFmtId="4" fontId="1" fillId="0" borderId="0" xfId="0" applyNumberFormat="1" applyFont="1" applyAlignment="1">
      <alignment horizontal="left"/>
    </xf>
    <xf numFmtId="4" fontId="4" fillId="0" borderId="0" xfId="0" applyNumberFormat="1" applyFont="1" applyAlignment="1">
      <alignment horizontal="center"/>
    </xf>
    <xf numFmtId="0" fontId="10" fillId="0" borderId="0" xfId="0" applyFont="1" applyAlignment="1">
      <alignment horizontal="center"/>
    </xf>
    <xf numFmtId="3" fontId="1" fillId="0" borderId="0" xfId="0" applyNumberFormat="1" applyFont="1" applyAlignment="1"/>
    <xf numFmtId="0" fontId="10" fillId="0" borderId="0" xfId="0" applyFont="1" applyAlignment="1"/>
    <xf numFmtId="4" fontId="10" fillId="0" borderId="0" xfId="0" applyNumberFormat="1"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center" wrapText="1"/>
    </xf>
    <xf numFmtId="0" fontId="5" fillId="0" borderId="0" xfId="0" applyFont="1" applyAlignment="1">
      <alignment horizontal="right" vertical="center"/>
    </xf>
    <xf numFmtId="4" fontId="1" fillId="0" borderId="1" xfId="0" applyNumberFormat="1" applyFont="1" applyBorder="1" applyAlignment="1">
      <alignment horizontal="center" vertical="center"/>
    </xf>
    <xf numFmtId="167" fontId="11" fillId="0" borderId="0" xfId="0" applyNumberFormat="1" applyFont="1" applyAlignment="1">
      <alignment horizontal="right" vertical="center"/>
    </xf>
    <xf numFmtId="2" fontId="12" fillId="0" borderId="0" xfId="0" applyNumberFormat="1" applyFont="1" applyAlignment="1">
      <alignment vertical="center"/>
    </xf>
    <xf numFmtId="2" fontId="5" fillId="0" borderId="0" xfId="0" applyNumberFormat="1" applyFont="1" applyAlignment="1">
      <alignment horizontal="center" vertical="center"/>
    </xf>
    <xf numFmtId="2" fontId="11" fillId="0" borderId="0" xfId="0" applyNumberFormat="1" applyFont="1" applyAlignment="1">
      <alignment horizontal="right" vertical="center" shrinkToFit="1"/>
    </xf>
    <xf numFmtId="169" fontId="5" fillId="0" borderId="0" xfId="0" applyNumberFormat="1" applyFont="1" applyAlignment="1"/>
    <xf numFmtId="0" fontId="13" fillId="0" borderId="0" xfId="0" applyFont="1" applyAlignment="1">
      <alignment vertical="center"/>
    </xf>
    <xf numFmtId="0" fontId="5"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4" fontId="5" fillId="0" borderId="0" xfId="0" applyNumberFormat="1" applyFont="1" applyAlignment="1">
      <alignment vertical="center"/>
    </xf>
    <xf numFmtId="167" fontId="5" fillId="0" borderId="0" xfId="0" applyNumberFormat="1" applyFont="1" applyAlignment="1">
      <alignment horizontal="right" vertical="center"/>
    </xf>
    <xf numFmtId="4" fontId="13" fillId="0" borderId="0" xfId="0" applyNumberFormat="1" applyFont="1" applyAlignment="1">
      <alignment vertical="center"/>
    </xf>
    <xf numFmtId="167" fontId="5" fillId="0" borderId="0" xfId="0" applyNumberFormat="1" applyFont="1" applyAlignment="1"/>
    <xf numFmtId="167" fontId="12" fillId="0" borderId="0" xfId="0" applyNumberFormat="1" applyFont="1" applyAlignment="1"/>
    <xf numFmtId="4" fontId="14" fillId="0" borderId="0" xfId="0" applyNumberFormat="1" applyFont="1" applyAlignment="1">
      <alignment horizontal="right" vertical="center"/>
    </xf>
    <xf numFmtId="167" fontId="12" fillId="0" borderId="0" xfId="0" applyNumberFormat="1" applyFont="1" applyAlignment="1">
      <alignment horizontal="left" vertical="center"/>
    </xf>
    <xf numFmtId="170" fontId="5" fillId="0" borderId="0" xfId="0" applyNumberFormat="1" applyFont="1" applyAlignment="1">
      <alignment horizontal="left" vertical="center"/>
    </xf>
    <xf numFmtId="4" fontId="15" fillId="0" borderId="0" xfId="0" applyNumberFormat="1" applyFont="1" applyAlignment="1">
      <alignment horizontal="right" vertical="center"/>
    </xf>
    <xf numFmtId="170" fontId="5" fillId="0" borderId="0" xfId="0" applyNumberFormat="1" applyFont="1" applyAlignment="1"/>
    <xf numFmtId="170" fontId="5" fillId="0" borderId="0" xfId="0" applyNumberFormat="1" applyFont="1" applyAlignment="1">
      <alignment horizontal="right" vertical="center"/>
    </xf>
    <xf numFmtId="170" fontId="15" fillId="0" borderId="0" xfId="0" applyNumberFormat="1" applyFont="1" applyAlignment="1">
      <alignment horizontal="right" vertical="center"/>
    </xf>
    <xf numFmtId="167" fontId="16" fillId="0" borderId="0" xfId="0" applyNumberFormat="1" applyFont="1" applyAlignment="1">
      <alignment horizontal="right" vertical="center"/>
    </xf>
    <xf numFmtId="49" fontId="14" fillId="0" borderId="0" xfId="0" applyNumberFormat="1" applyFont="1" applyAlignment="1">
      <alignment horizontal="center" vertical="center"/>
    </xf>
    <xf numFmtId="0" fontId="12" fillId="0" borderId="0" xfId="0" applyFont="1" applyAlignment="1">
      <alignment horizontal="left" vertical="center" wrapText="1"/>
    </xf>
    <xf numFmtId="0" fontId="11" fillId="0" borderId="0" xfId="0" applyFont="1" applyAlignment="1"/>
    <xf numFmtId="0" fontId="5" fillId="0" borderId="0" xfId="0" applyFont="1" applyAlignment="1">
      <alignment horizontal="left"/>
    </xf>
    <xf numFmtId="0" fontId="17" fillId="0" borderId="0" xfId="0" applyFont="1" applyAlignment="1">
      <alignment vertical="center"/>
    </xf>
    <xf numFmtId="0" fontId="5" fillId="0" borderId="1" xfId="0" applyFont="1" applyBorder="1" applyAlignment="1"/>
    <xf numFmtId="0" fontId="18" fillId="6" borderId="1" xfId="0" applyFont="1" applyFill="1" applyBorder="1" applyAlignment="1">
      <alignment horizontal="center" wrapText="1"/>
    </xf>
    <xf numFmtId="0" fontId="18" fillId="6" borderId="1" xfId="0" applyFont="1" applyFill="1" applyBorder="1" applyAlignment="1">
      <alignment wrapText="1"/>
    </xf>
    <xf numFmtId="10" fontId="18" fillId="6" borderId="1" xfId="0" applyNumberFormat="1" applyFont="1" applyFill="1" applyBorder="1" applyAlignment="1">
      <alignment horizontal="right" wrapText="1"/>
    </xf>
    <xf numFmtId="0" fontId="0" fillId="0" borderId="1" xfId="0" applyFont="1" applyBorder="1" applyAlignment="1">
      <alignment horizontal="center" wrapText="1"/>
    </xf>
    <xf numFmtId="0" fontId="0" fillId="0" borderId="1" xfId="0" applyFont="1" applyBorder="1" applyAlignment="1">
      <alignment wrapText="1"/>
    </xf>
    <xf numFmtId="10" fontId="0" fillId="0" borderId="1" xfId="0" applyNumberFormat="1" applyFont="1" applyBorder="1" applyAlignment="1">
      <alignment horizontal="right" wrapText="1"/>
    </xf>
    <xf numFmtId="10" fontId="5" fillId="0" borderId="0" xfId="0" applyNumberFormat="1" applyFont="1" applyAlignment="1"/>
    <xf numFmtId="0" fontId="0" fillId="7" borderId="1" xfId="0" applyFont="1" applyFill="1" applyBorder="1" applyAlignment="1">
      <alignment horizontal="center" wrapText="1"/>
    </xf>
    <xf numFmtId="0" fontId="18" fillId="7" borderId="1" xfId="0" applyFont="1" applyFill="1" applyBorder="1" applyAlignment="1">
      <alignment horizontal="right" wrapText="1"/>
    </xf>
    <xf numFmtId="10" fontId="18" fillId="7" borderId="1" xfId="0" applyNumberFormat="1" applyFont="1" applyFill="1" applyBorder="1" applyAlignment="1">
      <alignment horizontal="right" wrapText="1"/>
    </xf>
    <xf numFmtId="0" fontId="20" fillId="8" borderId="13" xfId="0" applyFont="1" applyFill="1" applyBorder="1" applyAlignment="1">
      <alignment horizontal="right"/>
    </xf>
    <xf numFmtId="0" fontId="21" fillId="8" borderId="13" xfId="0" applyFont="1" applyFill="1" applyBorder="1" applyAlignment="1"/>
    <xf numFmtId="0" fontId="22" fillId="0" borderId="0" xfId="0" applyFont="1" applyAlignment="1">
      <alignment horizontal="right"/>
    </xf>
    <xf numFmtId="0" fontId="21" fillId="0" borderId="0" xfId="0" applyFont="1" applyAlignment="1"/>
    <xf numFmtId="0" fontId="5" fillId="8" borderId="13" xfId="0" applyFont="1" applyFill="1" applyBorder="1" applyAlignment="1"/>
    <xf numFmtId="0" fontId="17" fillId="0" borderId="0" xfId="0" applyFont="1" applyAlignment="1">
      <alignment horizontal="left" vertical="center"/>
    </xf>
    <xf numFmtId="49" fontId="17" fillId="0" borderId="0" xfId="0" applyNumberFormat="1" applyFont="1" applyAlignment="1">
      <alignment horizontal="center" vertical="center"/>
    </xf>
    <xf numFmtId="0" fontId="17" fillId="0" borderId="0" xfId="0" applyFont="1" applyAlignment="1">
      <alignment horizontal="center" vertical="center" wrapText="1"/>
    </xf>
    <xf numFmtId="10" fontId="17" fillId="0" borderId="0" xfId="0" applyNumberFormat="1" applyFont="1" applyAlignment="1">
      <alignment horizontal="center" vertical="center"/>
    </xf>
    <xf numFmtId="0" fontId="12" fillId="0" borderId="0" xfId="0" applyFont="1" applyAlignment="1"/>
    <xf numFmtId="0" fontId="17" fillId="0" borderId="12" xfId="0" applyFont="1" applyBorder="1" applyAlignment="1">
      <alignment horizontal="left" vertical="center"/>
    </xf>
    <xf numFmtId="0" fontId="17" fillId="0" borderId="12" xfId="0" applyFont="1" applyBorder="1" applyAlignment="1">
      <alignment horizontal="left" vertical="center" wrapText="1"/>
    </xf>
    <xf numFmtId="0" fontId="17" fillId="0" borderId="12" xfId="0" applyFont="1" applyBorder="1" applyAlignment="1">
      <alignment horizontal="center" vertical="center"/>
    </xf>
    <xf numFmtId="17" fontId="12" fillId="0" borderId="12" xfId="0" applyNumberFormat="1" applyFont="1" applyBorder="1" applyAlignment="1">
      <alignment horizontal="center" vertical="center"/>
    </xf>
    <xf numFmtId="171" fontId="17" fillId="0" borderId="12" xfId="0" applyNumberFormat="1" applyFont="1" applyBorder="1" applyAlignment="1">
      <alignment horizontal="right"/>
    </xf>
    <xf numFmtId="0" fontId="17" fillId="2" borderId="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2" xfId="0" applyFont="1" applyFill="1" applyBorder="1" applyAlignment="1">
      <alignment horizontal="center" vertical="center"/>
    </xf>
    <xf numFmtId="4" fontId="17" fillId="2" borderId="23" xfId="0" applyNumberFormat="1"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1" xfId="0" applyFont="1" applyFill="1" applyBorder="1" applyAlignment="1">
      <alignment horizontal="center" vertical="center"/>
    </xf>
    <xf numFmtId="0" fontId="11" fillId="0" borderId="1" xfId="0" applyFont="1" applyBorder="1" applyAlignment="1">
      <alignment horizontal="center" vertical="center"/>
    </xf>
    <xf numFmtId="49" fontId="11" fillId="0" borderId="1" xfId="0" applyNumberFormat="1" applyFont="1" applyBorder="1" applyAlignment="1">
      <alignment horizontal="left" vertical="center" wrapText="1"/>
    </xf>
    <xf numFmtId="167" fontId="11" fillId="0" borderId="1" xfId="0" applyNumberFormat="1" applyFont="1" applyBorder="1" applyAlignment="1">
      <alignment horizontal="center" vertical="center" shrinkToFit="1"/>
    </xf>
    <xf numFmtId="4" fontId="11" fillId="0" borderId="1" xfId="0" applyNumberFormat="1" applyFont="1" applyBorder="1" applyAlignment="1">
      <alignment horizontal="center" vertical="center" shrinkToFit="1"/>
    </xf>
    <xf numFmtId="167" fontId="11" fillId="0" borderId="27" xfId="0" applyNumberFormat="1" applyFont="1" applyBorder="1" applyAlignment="1">
      <alignment horizontal="center" vertical="center" shrinkToFit="1"/>
    </xf>
    <xf numFmtId="10" fontId="11" fillId="0" borderId="1" xfId="0" applyNumberFormat="1" applyFont="1" applyBorder="1" applyAlignment="1">
      <alignment horizontal="center" vertical="center"/>
    </xf>
    <xf numFmtId="9" fontId="11" fillId="0" borderId="1" xfId="0" applyNumberFormat="1" applyFont="1" applyBorder="1" applyAlignment="1">
      <alignment horizontal="center" vertical="center"/>
    </xf>
    <xf numFmtId="0" fontId="11" fillId="0" borderId="28" xfId="0" applyFont="1" applyBorder="1" applyAlignment="1">
      <alignment horizontal="center" vertical="center"/>
    </xf>
    <xf numFmtId="49" fontId="11" fillId="0" borderId="28" xfId="0" applyNumberFormat="1" applyFont="1" applyBorder="1" applyAlignment="1">
      <alignment horizontal="left" vertical="center" wrapText="1"/>
    </xf>
    <xf numFmtId="167" fontId="11" fillId="0" borderId="28" xfId="0" applyNumberFormat="1" applyFont="1" applyBorder="1" applyAlignment="1">
      <alignment horizontal="center" vertical="center" shrinkToFit="1"/>
    </xf>
    <xf numFmtId="4" fontId="11" fillId="0" borderId="28" xfId="0" applyNumberFormat="1" applyFont="1" applyBorder="1" applyAlignment="1">
      <alignment horizontal="center" vertical="center" shrinkToFit="1"/>
    </xf>
    <xf numFmtId="167" fontId="11" fillId="0" borderId="29" xfId="0" applyNumberFormat="1" applyFont="1" applyBorder="1" applyAlignment="1">
      <alignment horizontal="center" vertical="center" shrinkToFit="1"/>
    </xf>
    <xf numFmtId="4" fontId="11" fillId="0" borderId="30" xfId="0" applyNumberFormat="1" applyFont="1" applyBorder="1" applyAlignment="1">
      <alignment horizontal="center" vertical="center"/>
    </xf>
    <xf numFmtId="4" fontId="11" fillId="0" borderId="28" xfId="0" applyNumberFormat="1" applyFont="1" applyBorder="1" applyAlignment="1">
      <alignment horizontal="center" vertical="center"/>
    </xf>
    <xf numFmtId="168" fontId="5" fillId="0" borderId="0" xfId="0" applyNumberFormat="1" applyFont="1" applyAlignment="1"/>
    <xf numFmtId="0" fontId="11" fillId="0" borderId="31" xfId="0" applyFont="1" applyBorder="1" applyAlignment="1">
      <alignment horizontal="center" vertical="center"/>
    </xf>
    <xf numFmtId="49" fontId="11" fillId="0" borderId="31" xfId="0" applyNumberFormat="1" applyFont="1" applyBorder="1" applyAlignment="1">
      <alignment horizontal="left" vertical="center" wrapText="1"/>
    </xf>
    <xf numFmtId="167" fontId="11" fillId="0" borderId="32" xfId="0" applyNumberFormat="1" applyFont="1" applyBorder="1" applyAlignment="1">
      <alignment horizontal="center" vertical="center" shrinkToFit="1"/>
    </xf>
    <xf numFmtId="10" fontId="11" fillId="9" borderId="33" xfId="0" applyNumberFormat="1" applyFont="1" applyFill="1" applyBorder="1" applyAlignment="1">
      <alignment horizontal="center" vertical="center"/>
    </xf>
    <xf numFmtId="0" fontId="11" fillId="0" borderId="34" xfId="0" applyFont="1" applyBorder="1" applyAlignment="1">
      <alignment horizontal="center" vertical="center"/>
    </xf>
    <xf numFmtId="49" fontId="11" fillId="0" borderId="34" xfId="0" applyNumberFormat="1" applyFont="1" applyBorder="1" applyAlignment="1">
      <alignment horizontal="left" vertical="center" wrapText="1"/>
    </xf>
    <xf numFmtId="167" fontId="11" fillId="0" borderId="34" xfId="0" applyNumberFormat="1" applyFont="1" applyBorder="1" applyAlignment="1">
      <alignment horizontal="center" vertical="center" shrinkToFit="1"/>
    </xf>
    <xf numFmtId="4" fontId="11" fillId="0" borderId="34" xfId="0" applyNumberFormat="1" applyFont="1" applyBorder="1" applyAlignment="1">
      <alignment horizontal="center" vertical="center" shrinkToFit="1"/>
    </xf>
    <xf numFmtId="167" fontId="11" fillId="0" borderId="35" xfId="0" applyNumberFormat="1" applyFont="1" applyBorder="1" applyAlignment="1">
      <alignment horizontal="center" vertical="center" shrinkToFit="1"/>
    </xf>
    <xf numFmtId="4" fontId="11" fillId="0" borderId="9" xfId="0" applyNumberFormat="1" applyFont="1" applyBorder="1" applyAlignment="1">
      <alignment horizontal="center" vertical="center"/>
    </xf>
    <xf numFmtId="0" fontId="11" fillId="0" borderId="31" xfId="0" applyFont="1" applyBorder="1" applyAlignment="1">
      <alignment horizontal="left" vertical="center" wrapText="1"/>
    </xf>
    <xf numFmtId="167" fontId="11" fillId="0" borderId="31" xfId="0" applyNumberFormat="1" applyFont="1" applyBorder="1" applyAlignment="1">
      <alignment horizontal="center" vertical="center" shrinkToFit="1"/>
    </xf>
    <xf numFmtId="4" fontId="11" fillId="0" borderId="31" xfId="0" applyNumberFormat="1" applyFont="1" applyBorder="1" applyAlignment="1">
      <alignment horizontal="center" vertical="center" shrinkToFit="1"/>
    </xf>
    <xf numFmtId="4" fontId="11" fillId="0" borderId="36" xfId="0" applyNumberFormat="1" applyFont="1" applyBorder="1" applyAlignment="1">
      <alignment horizontal="center" vertical="center"/>
    </xf>
    <xf numFmtId="10" fontId="11" fillId="0" borderId="31" xfId="0" applyNumberFormat="1" applyFont="1" applyBorder="1" applyAlignment="1">
      <alignment horizontal="center" vertical="center"/>
    </xf>
    <xf numFmtId="9" fontId="11" fillId="0" borderId="31" xfId="0" applyNumberFormat="1" applyFont="1" applyBorder="1" applyAlignment="1">
      <alignment horizontal="center" vertical="center"/>
    </xf>
    <xf numFmtId="4" fontId="11" fillId="0" borderId="31" xfId="0" applyNumberFormat="1" applyFont="1" applyBorder="1" applyAlignment="1">
      <alignment horizontal="center" vertical="center"/>
    </xf>
    <xf numFmtId="0" fontId="11" fillId="0" borderId="17" xfId="0" applyFont="1" applyBorder="1" applyAlignment="1">
      <alignment horizontal="center" vertical="center"/>
    </xf>
    <xf numFmtId="49" fontId="11" fillId="0" borderId="17" xfId="0" applyNumberFormat="1" applyFont="1" applyBorder="1" applyAlignment="1">
      <alignment horizontal="left" vertical="center" wrapText="1"/>
    </xf>
    <xf numFmtId="167" fontId="11" fillId="0" borderId="17" xfId="0" applyNumberFormat="1" applyFont="1" applyBorder="1" applyAlignment="1">
      <alignment horizontal="center" vertical="center" shrinkToFit="1"/>
    </xf>
    <xf numFmtId="4" fontId="11" fillId="0" borderId="17" xfId="0" applyNumberFormat="1" applyFont="1" applyBorder="1" applyAlignment="1">
      <alignment horizontal="center" vertical="center" shrinkToFit="1"/>
    </xf>
    <xf numFmtId="167" fontId="11" fillId="0" borderId="37" xfId="0" applyNumberFormat="1" applyFont="1" applyBorder="1" applyAlignment="1">
      <alignment horizontal="center" vertical="center" shrinkToFit="1"/>
    </xf>
    <xf numFmtId="4" fontId="11" fillId="0" borderId="6" xfId="0" applyNumberFormat="1" applyFont="1" applyBorder="1" applyAlignment="1">
      <alignment horizontal="center" vertical="center"/>
    </xf>
    <xf numFmtId="4" fontId="11" fillId="0" borderId="17" xfId="0" applyNumberFormat="1" applyFont="1" applyBorder="1" applyAlignment="1">
      <alignment horizontal="center" vertical="center"/>
    </xf>
    <xf numFmtId="0" fontId="11" fillId="0" borderId="1" xfId="0" applyFont="1" applyBorder="1" applyAlignment="1">
      <alignment horizontal="left" vertical="center" wrapText="1"/>
    </xf>
    <xf numFmtId="167" fontId="11" fillId="0" borderId="41" xfId="0" applyNumberFormat="1" applyFont="1" applyBorder="1" applyAlignment="1">
      <alignment horizontal="center" vertical="center" shrinkToFit="1"/>
    </xf>
    <xf numFmtId="0" fontId="11" fillId="10" borderId="33" xfId="0" applyFont="1" applyFill="1" applyBorder="1" applyAlignment="1">
      <alignment horizontal="center" vertical="center"/>
    </xf>
    <xf numFmtId="0" fontId="11" fillId="10" borderId="31"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4" fontId="11" fillId="0" borderId="0" xfId="0" applyNumberFormat="1" applyFont="1" applyAlignment="1">
      <alignment horizontal="center" vertical="center"/>
    </xf>
    <xf numFmtId="4" fontId="11" fillId="0" borderId="1"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shrinkToFit="1"/>
    </xf>
    <xf numFmtId="167" fontId="11" fillId="0" borderId="0" xfId="0" applyNumberFormat="1" applyFont="1" applyAlignment="1">
      <alignment horizontal="center" vertical="center" shrinkToFit="1"/>
    </xf>
    <xf numFmtId="0" fontId="0" fillId="0" borderId="0" xfId="0" applyFont="1" applyAlignment="1"/>
    <xf numFmtId="0" fontId="0" fillId="0" borderId="0" xfId="0" applyFont="1" applyAlignment="1"/>
    <xf numFmtId="2" fontId="24"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4" fontId="1" fillId="0" borderId="16" xfId="0" applyNumberFormat="1" applyFont="1" applyBorder="1" applyAlignment="1">
      <alignment horizontal="center" vertical="center"/>
    </xf>
    <xf numFmtId="0" fontId="0" fillId="0" borderId="0" xfId="0"/>
    <xf numFmtId="0" fontId="0" fillId="0" borderId="0" xfId="0"/>
    <xf numFmtId="0" fontId="30" fillId="0" borderId="0" xfId="0" applyFont="1" applyAlignment="1"/>
    <xf numFmtId="0" fontId="0" fillId="0" borderId="0" xfId="0" applyFont="1" applyAlignment="1"/>
    <xf numFmtId="0" fontId="1" fillId="0" borderId="0" xfId="0" applyFont="1" applyAlignment="1">
      <alignment horizontal="center"/>
    </xf>
    <xf numFmtId="0" fontId="0" fillId="0" borderId="0" xfId="0"/>
    <xf numFmtId="165" fontId="1" fillId="0" borderId="1" xfId="0" applyNumberFormat="1" applyFont="1" applyBorder="1" applyAlignment="1">
      <alignment horizontal="center"/>
    </xf>
    <xf numFmtId="0" fontId="0" fillId="0" borderId="0" xfId="0" applyFont="1" applyAlignment="1"/>
    <xf numFmtId="0" fontId="0" fillId="0" borderId="0" xfId="0" applyFont="1" applyAlignment="1"/>
    <xf numFmtId="2" fontId="1" fillId="0" borderId="26" xfId="0" applyNumberFormat="1" applyFont="1" applyBorder="1" applyAlignment="1">
      <alignment horizontal="left" vertical="center"/>
    </xf>
    <xf numFmtId="0" fontId="0" fillId="0" borderId="16" xfId="0" applyFont="1" applyBorder="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2" fillId="11" borderId="1" xfId="0" applyFont="1" applyFill="1" applyBorder="1" applyAlignment="1">
      <alignment horizontal="center" vertical="center"/>
    </xf>
    <xf numFmtId="0" fontId="12" fillId="11" borderId="1" xfId="0" applyFont="1" applyFill="1" applyBorder="1" applyAlignment="1">
      <alignment horizontal="left" vertical="center"/>
    </xf>
    <xf numFmtId="4" fontId="12" fillId="11" borderId="1" xfId="0" applyNumberFormat="1" applyFont="1" applyFill="1" applyBorder="1" applyAlignment="1">
      <alignment horizontal="right" vertical="center"/>
    </xf>
    <xf numFmtId="4" fontId="32" fillId="11" borderId="1" xfId="0" applyNumberFormat="1" applyFont="1" applyFill="1" applyBorder="1" applyAlignment="1">
      <alignment horizontal="right" vertical="center" wrapText="1"/>
    </xf>
    <xf numFmtId="4" fontId="12" fillId="11" borderId="1" xfId="0" applyNumberFormat="1" applyFont="1" applyFill="1" applyBorder="1" applyAlignment="1">
      <alignment horizontal="right" vertical="center" wrapText="1"/>
    </xf>
    <xf numFmtId="0" fontId="0" fillId="0" borderId="0" xfId="0" applyFont="1" applyAlignment="1"/>
    <xf numFmtId="4" fontId="12" fillId="0" borderId="0" xfId="0" applyNumberFormat="1" applyFont="1" applyAlignment="1">
      <alignment vertical="center"/>
    </xf>
    <xf numFmtId="4" fontId="33" fillId="0" borderId="0" xfId="0" applyNumberFormat="1" applyFont="1" applyAlignment="1">
      <alignment vertical="center"/>
    </xf>
    <xf numFmtId="0" fontId="18" fillId="0" borderId="0" xfId="0" applyFont="1" applyAlignment="1"/>
    <xf numFmtId="0" fontId="0" fillId="0" borderId="0" xfId="0" applyFont="1" applyAlignment="1"/>
    <xf numFmtId="0" fontId="0" fillId="0" borderId="0" xfId="0" applyFont="1" applyAlignment="1"/>
    <xf numFmtId="0" fontId="0" fillId="0" borderId="0" xfId="0"/>
    <xf numFmtId="4" fontId="26" fillId="0" borderId="0" xfId="0" applyNumberFormat="1" applyFont="1" applyAlignment="1">
      <alignment vertical="center"/>
    </xf>
    <xf numFmtId="4" fontId="34" fillId="0" borderId="0" xfId="0" applyNumberFormat="1" applyFont="1" applyAlignment="1">
      <alignment vertical="center"/>
    </xf>
    <xf numFmtId="0" fontId="26" fillId="0" borderId="0" xfId="0" applyFont="1" applyAlignment="1"/>
    <xf numFmtId="0" fontId="0" fillId="0" borderId="0" xfId="0" applyFont="1" applyAlignment="1"/>
    <xf numFmtId="4" fontId="11" fillId="0" borderId="0" xfId="0" applyNumberFormat="1" applyFont="1" applyAlignment="1">
      <alignment horizontal="right" vertical="center"/>
    </xf>
    <xf numFmtId="0" fontId="11" fillId="0" borderId="0" xfId="0" applyFont="1" applyAlignment="1">
      <alignment horizontal="right" vertical="center"/>
    </xf>
    <xf numFmtId="168" fontId="11" fillId="0" borderId="0" xfId="0" applyNumberFormat="1" applyFont="1" applyAlignment="1">
      <alignment horizontal="right" vertical="center"/>
    </xf>
    <xf numFmtId="0" fontId="2" fillId="0" borderId="50" xfId="0" applyFont="1" applyBorder="1" applyAlignment="1">
      <alignment horizontal="center" vertical="center"/>
    </xf>
    <xf numFmtId="0" fontId="2" fillId="0" borderId="50" xfId="0" applyFont="1" applyBorder="1" applyAlignment="1">
      <alignment horizontal="center" vertical="center" wrapText="1"/>
    </xf>
    <xf numFmtId="0" fontId="2" fillId="0" borderId="50" xfId="0" applyFont="1" applyBorder="1" applyAlignment="1">
      <alignment horizontal="justify" vertical="center" wrapText="1"/>
    </xf>
    <xf numFmtId="43" fontId="2" fillId="0" borderId="50" xfId="1" applyFont="1" applyBorder="1" applyAlignment="1">
      <alignment horizontal="center" vertical="center"/>
    </xf>
    <xf numFmtId="0" fontId="2" fillId="0" borderId="51" xfId="0" applyFont="1" applyBorder="1" applyAlignment="1">
      <alignment horizontal="center" vertical="center"/>
    </xf>
    <xf numFmtId="0" fontId="2" fillId="0" borderId="51" xfId="0" applyFont="1" applyBorder="1" applyAlignment="1">
      <alignment horizontal="center" vertical="center" wrapText="1"/>
    </xf>
    <xf numFmtId="0" fontId="2" fillId="0" borderId="51" xfId="0" applyFont="1" applyBorder="1" applyAlignment="1">
      <alignment horizontal="justify" vertical="center" wrapText="1"/>
    </xf>
    <xf numFmtId="43" fontId="2" fillId="0" borderId="51" xfId="1" applyFont="1" applyBorder="1" applyAlignment="1">
      <alignment horizontal="center" vertical="center"/>
    </xf>
    <xf numFmtId="0" fontId="2" fillId="0" borderId="50"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0" xfId="0" applyFont="1" applyFill="1" applyBorder="1" applyAlignment="1">
      <alignment horizontal="justify" vertical="center" wrapText="1"/>
    </xf>
    <xf numFmtId="43" fontId="2" fillId="0" borderId="50" xfId="1" applyFont="1" applyFill="1" applyBorder="1" applyAlignment="1">
      <alignment horizontal="right" vertical="center"/>
    </xf>
    <xf numFmtId="0" fontId="2" fillId="0" borderId="51"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51" xfId="0" applyFont="1" applyFill="1" applyBorder="1" applyAlignment="1">
      <alignment horizontal="justify" vertical="center" wrapText="1"/>
    </xf>
    <xf numFmtId="43" fontId="2" fillId="0" borderId="51" xfId="1" applyFont="1" applyFill="1" applyBorder="1" applyAlignment="1">
      <alignment horizontal="right" vertical="center"/>
    </xf>
    <xf numFmtId="0" fontId="0" fillId="0" borderId="0" xfId="0" applyFont="1" applyAlignment="1"/>
    <xf numFmtId="0" fontId="36" fillId="0" borderId="0" xfId="0" applyFont="1" applyAlignment="1"/>
    <xf numFmtId="0" fontId="11" fillId="0" borderId="50" xfId="0" applyFont="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0" xfId="0" applyFont="1" applyBorder="1" applyAlignment="1">
      <alignment horizontal="left" vertical="center"/>
    </xf>
    <xf numFmtId="2" fontId="11" fillId="0" borderId="20" xfId="0" applyNumberFormat="1" applyFont="1" applyBorder="1" applyAlignment="1">
      <alignment horizontal="left" vertical="center"/>
    </xf>
    <xf numFmtId="170" fontId="11" fillId="0" borderId="0" xfId="0" applyNumberFormat="1" applyFont="1" applyAlignment="1">
      <alignment horizontal="left" vertical="center"/>
    </xf>
    <xf numFmtId="0" fontId="37" fillId="0" borderId="0" xfId="0" applyFont="1" applyAlignment="1">
      <alignment vertical="center"/>
    </xf>
    <xf numFmtId="0" fontId="28" fillId="0" borderId="1" xfId="0" applyFont="1" applyFill="1" applyBorder="1" applyAlignment="1">
      <alignment horizontal="center" vertical="center"/>
    </xf>
    <xf numFmtId="43" fontId="1" fillId="0" borderId="1" xfId="1" applyFont="1" applyBorder="1" applyAlignment="1">
      <alignment horizontal="center"/>
    </xf>
    <xf numFmtId="43" fontId="5" fillId="0" borderId="0" xfId="1" applyFont="1" applyAlignment="1"/>
    <xf numFmtId="43" fontId="25" fillId="0" borderId="0" xfId="1" applyFont="1" applyAlignment="1"/>
    <xf numFmtId="43" fontId="0" fillId="0" borderId="0" xfId="1" applyFont="1" applyAlignment="1"/>
    <xf numFmtId="43" fontId="1" fillId="0" borderId="18" xfId="1" applyFont="1" applyBorder="1" applyAlignment="1">
      <alignment horizontal="center"/>
    </xf>
    <xf numFmtId="43" fontId="1" fillId="0" borderId="11" xfId="1" applyFont="1" applyBorder="1" applyAlignment="1">
      <alignment vertical="center"/>
    </xf>
    <xf numFmtId="43" fontId="1" fillId="0" borderId="25" xfId="1" applyFont="1" applyBorder="1" applyAlignment="1">
      <alignment vertical="center" wrapText="1"/>
    </xf>
    <xf numFmtId="43" fontId="1" fillId="0" borderId="11" xfId="1" applyFont="1" applyBorder="1" applyAlignment="1">
      <alignment vertical="center" wrapText="1"/>
    </xf>
    <xf numFmtId="43" fontId="2" fillId="0" borderId="50" xfId="1" applyFont="1" applyFill="1" applyBorder="1" applyAlignment="1">
      <alignment horizontal="center" vertical="center"/>
    </xf>
    <xf numFmtId="43" fontId="2" fillId="0" borderId="51" xfId="1" applyFont="1" applyFill="1" applyBorder="1" applyAlignment="1">
      <alignment horizontal="center" vertical="center"/>
    </xf>
    <xf numFmtId="43" fontId="1" fillId="0" borderId="4" xfId="1" applyFont="1" applyBorder="1" applyAlignment="1">
      <alignment vertical="center"/>
    </xf>
    <xf numFmtId="43" fontId="1" fillId="0" borderId="6" xfId="1" applyFont="1" applyBorder="1" applyAlignment="1">
      <alignment vertical="center" wrapText="1"/>
    </xf>
    <xf numFmtId="43" fontId="5" fillId="0" borderId="0" xfId="1" applyFont="1" applyAlignment="1">
      <alignment horizontal="center"/>
    </xf>
    <xf numFmtId="43" fontId="12" fillId="11" borderId="1" xfId="1" applyFont="1" applyFill="1" applyBorder="1" applyAlignment="1">
      <alignment horizontal="center" vertical="center"/>
    </xf>
    <xf numFmtId="43" fontId="14" fillId="0" borderId="0" xfId="1" applyFont="1" applyAlignment="1">
      <alignment horizontal="center" vertical="center"/>
    </xf>
    <xf numFmtId="43" fontId="13" fillId="0" borderId="0" xfId="1" applyFont="1" applyAlignment="1">
      <alignment vertical="center"/>
    </xf>
    <xf numFmtId="43" fontId="2" fillId="0" borderId="0" xfId="1" applyFont="1" applyAlignment="1">
      <alignment vertical="center"/>
    </xf>
    <xf numFmtId="43" fontId="5" fillId="0" borderId="0" xfId="1" applyFont="1" applyAlignment="1">
      <alignment vertical="center"/>
    </xf>
    <xf numFmtId="2"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3" fontId="28" fillId="0" borderId="1" xfId="1" applyFont="1" applyFill="1" applyBorder="1" applyAlignment="1">
      <alignment horizontal="center" vertical="center"/>
    </xf>
    <xf numFmtId="43" fontId="28" fillId="0" borderId="1" xfId="1" applyFont="1" applyFill="1" applyBorder="1" applyAlignment="1">
      <alignment horizontal="center" vertical="center" wrapText="1"/>
    </xf>
    <xf numFmtId="0" fontId="28" fillId="0" borderId="26" xfId="0" applyFont="1" applyFill="1" applyBorder="1" applyAlignment="1">
      <alignment horizontal="center" vertical="center"/>
    </xf>
    <xf numFmtId="0" fontId="28" fillId="0" borderId="26" xfId="0" applyFont="1" applyFill="1" applyBorder="1" applyAlignment="1">
      <alignment horizontal="left" vertical="center" wrapText="1"/>
    </xf>
    <xf numFmtId="43" fontId="28" fillId="0" borderId="26" xfId="1" applyFont="1" applyFill="1" applyBorder="1" applyAlignment="1">
      <alignment horizontal="center" vertical="center"/>
    </xf>
    <xf numFmtId="43" fontId="28" fillId="0" borderId="26" xfId="1" applyFont="1" applyFill="1" applyBorder="1" applyAlignment="1">
      <alignment horizontal="center" vertical="center" wrapText="1"/>
    </xf>
    <xf numFmtId="10" fontId="1" fillId="0" borderId="1" xfId="14" applyNumberFormat="1" applyFont="1" applyBorder="1" applyAlignment="1">
      <alignment horizontal="center"/>
    </xf>
    <xf numFmtId="10" fontId="2" fillId="0" borderId="1" xfId="14" applyNumberFormat="1" applyFont="1" applyBorder="1" applyAlignment="1">
      <alignment horizontal="center"/>
    </xf>
    <xf numFmtId="10" fontId="5" fillId="0" borderId="1" xfId="14" applyNumberFormat="1" applyFont="1" applyBorder="1" applyAlignment="1">
      <alignment horizontal="center"/>
    </xf>
    <xf numFmtId="0" fontId="1" fillId="0" borderId="1" xfId="0" applyFont="1" applyBorder="1" applyAlignment="1">
      <alignment horizontal="right" vertical="center"/>
    </xf>
    <xf numFmtId="2" fontId="1" fillId="0" borderId="1" xfId="0" applyNumberFormat="1" applyFont="1" applyBorder="1" applyAlignment="1">
      <alignment horizontal="right" vertical="center"/>
    </xf>
    <xf numFmtId="0" fontId="28" fillId="0" borderId="1" xfId="0" applyFont="1" applyFill="1" applyBorder="1" applyAlignment="1">
      <alignment horizontal="right" vertical="center"/>
    </xf>
    <xf numFmtId="0" fontId="5" fillId="0" borderId="0" xfId="0" applyFont="1" applyAlignment="1">
      <alignment horizontal="right"/>
    </xf>
    <xf numFmtId="0" fontId="0" fillId="0" borderId="0" xfId="0" applyFont="1" applyAlignment="1">
      <alignment horizontal="right"/>
    </xf>
    <xf numFmtId="0" fontId="1" fillId="0" borderId="43" xfId="0" applyFont="1" applyBorder="1" applyAlignment="1">
      <alignment horizontal="right" vertical="center"/>
    </xf>
    <xf numFmtId="0" fontId="1" fillId="0" borderId="47" xfId="0" applyFont="1" applyBorder="1" applyAlignment="1">
      <alignment horizontal="right" vertical="center"/>
    </xf>
    <xf numFmtId="2" fontId="1" fillId="0" borderId="48" xfId="0" applyNumberFormat="1" applyFont="1" applyBorder="1" applyAlignment="1">
      <alignment horizontal="right" vertical="center"/>
    </xf>
    <xf numFmtId="0" fontId="2" fillId="0" borderId="50" xfId="0" applyFont="1" applyBorder="1" applyAlignment="1">
      <alignment horizontal="right" vertical="center"/>
    </xf>
    <xf numFmtId="0" fontId="2" fillId="0" borderId="51" xfId="0" applyFont="1" applyBorder="1" applyAlignment="1">
      <alignment horizontal="right" vertical="center"/>
    </xf>
    <xf numFmtId="0" fontId="2" fillId="0" borderId="50" xfId="0" applyFont="1" applyFill="1" applyBorder="1" applyAlignment="1">
      <alignment horizontal="right" vertical="center"/>
    </xf>
    <xf numFmtId="0" fontId="2" fillId="0" borderId="51" xfId="0" applyFont="1" applyFill="1" applyBorder="1" applyAlignment="1">
      <alignment horizontal="right" vertical="center"/>
    </xf>
    <xf numFmtId="0" fontId="1" fillId="0" borderId="1" xfId="0" quotePrefix="1" applyFont="1" applyBorder="1" applyAlignment="1">
      <alignment horizontal="right" vertical="center"/>
    </xf>
    <xf numFmtId="0" fontId="28" fillId="0" borderId="26" xfId="0" applyFont="1" applyFill="1" applyBorder="1" applyAlignment="1">
      <alignment horizontal="right" vertical="center"/>
    </xf>
    <xf numFmtId="2" fontId="1" fillId="0" borderId="26" xfId="0" applyNumberFormat="1" applyFont="1" applyBorder="1" applyAlignment="1">
      <alignment horizontal="right" vertical="center"/>
    </xf>
    <xf numFmtId="0" fontId="28" fillId="0" borderId="49" xfId="0" applyFont="1" applyFill="1" applyBorder="1" applyAlignment="1">
      <alignment horizontal="center" vertical="center"/>
    </xf>
    <xf numFmtId="0" fontId="28" fillId="0" borderId="49" xfId="0" applyFont="1" applyFill="1" applyBorder="1" applyAlignment="1">
      <alignment horizontal="left" vertical="center"/>
    </xf>
    <xf numFmtId="43" fontId="28" fillId="0" borderId="49" xfId="1" applyFont="1" applyFill="1" applyBorder="1" applyAlignment="1">
      <alignment horizontal="right" vertical="center"/>
    </xf>
    <xf numFmtId="43" fontId="38" fillId="0" borderId="49" xfId="1" applyFont="1" applyFill="1" applyBorder="1" applyAlignment="1">
      <alignment horizontal="right" vertical="center" wrapText="1"/>
    </xf>
    <xf numFmtId="43" fontId="28" fillId="0" borderId="49" xfId="1" applyFont="1" applyFill="1" applyBorder="1" applyAlignment="1">
      <alignment horizontal="right" vertical="center" wrapText="1"/>
    </xf>
    <xf numFmtId="0" fontId="12" fillId="11" borderId="50" xfId="0" applyFont="1" applyFill="1" applyBorder="1" applyAlignment="1">
      <alignment horizontal="center" vertical="center"/>
    </xf>
    <xf numFmtId="0" fontId="12" fillId="11" borderId="50" xfId="0" applyFont="1" applyFill="1" applyBorder="1" applyAlignment="1">
      <alignment horizontal="left" vertical="center"/>
    </xf>
    <xf numFmtId="43" fontId="12" fillId="11" borderId="50" xfId="1" applyFont="1" applyFill="1" applyBorder="1" applyAlignment="1">
      <alignment horizontal="right" vertical="center"/>
    </xf>
    <xf numFmtId="43" fontId="32" fillId="11" borderId="50" xfId="1" applyFont="1" applyFill="1" applyBorder="1" applyAlignment="1">
      <alignment horizontal="right" vertical="center" wrapText="1"/>
    </xf>
    <xf numFmtId="43" fontId="12" fillId="11" borderId="50" xfId="1" applyFont="1" applyFill="1" applyBorder="1" applyAlignment="1">
      <alignment horizontal="right" vertical="center" wrapText="1"/>
    </xf>
    <xf numFmtId="0" fontId="28" fillId="0" borderId="49" xfId="0" applyFont="1" applyFill="1" applyBorder="1" applyAlignment="1">
      <alignment horizontal="right" vertical="center"/>
    </xf>
    <xf numFmtId="0" fontId="12" fillId="11" borderId="50" xfId="0" applyFont="1" applyFill="1" applyBorder="1" applyAlignment="1">
      <alignment horizontal="right" vertical="center"/>
    </xf>
    <xf numFmtId="0" fontId="28" fillId="0" borderId="49" xfId="0" applyFont="1" applyBorder="1" applyAlignment="1">
      <alignment horizontal="left" vertical="center"/>
    </xf>
    <xf numFmtId="0" fontId="28" fillId="0" borderId="49" xfId="0" applyFont="1" applyBorder="1" applyAlignment="1">
      <alignment horizontal="center" vertical="center"/>
    </xf>
    <xf numFmtId="43" fontId="28" fillId="0" borderId="49" xfId="1" applyFont="1" applyBorder="1" applyAlignment="1">
      <alignment horizontal="right" vertical="center"/>
    </xf>
    <xf numFmtId="43" fontId="38" fillId="0" borderId="49" xfId="1" applyFont="1" applyBorder="1" applyAlignment="1">
      <alignment horizontal="right" vertical="center" wrapText="1"/>
    </xf>
    <xf numFmtId="0" fontId="2" fillId="12" borderId="50" xfId="0" applyFont="1" applyFill="1" applyBorder="1" applyAlignment="1">
      <alignment horizontal="right" vertical="center"/>
    </xf>
    <xf numFmtId="0" fontId="11" fillId="12" borderId="50"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2" fillId="12" borderId="50" xfId="0" applyFont="1" applyFill="1" applyBorder="1" applyAlignment="1">
      <alignment horizontal="justify" vertical="center" wrapText="1"/>
    </xf>
    <xf numFmtId="0" fontId="2" fillId="12" borderId="50" xfId="0" applyFont="1" applyFill="1" applyBorder="1" applyAlignment="1">
      <alignment horizontal="center" vertical="center"/>
    </xf>
    <xf numFmtId="43" fontId="2" fillId="12" borderId="50" xfId="1" applyFont="1" applyFill="1" applyBorder="1" applyAlignment="1">
      <alignment horizontal="center" vertical="center"/>
    </xf>
    <xf numFmtId="43" fontId="2" fillId="12" borderId="50" xfId="1" applyFont="1" applyFill="1" applyBorder="1" applyAlignment="1">
      <alignment horizontal="right" vertical="center"/>
    </xf>
    <xf numFmtId="2" fontId="28" fillId="0" borderId="49" xfId="0" applyNumberFormat="1" applyFont="1" applyFill="1" applyBorder="1" applyAlignment="1">
      <alignment horizontal="center" vertical="center" wrapText="1"/>
    </xf>
    <xf numFmtId="0" fontId="28" fillId="0" borderId="49" xfId="0" applyFont="1" applyFill="1" applyBorder="1" applyAlignment="1">
      <alignment horizontal="center" vertical="center" wrapText="1"/>
    </xf>
    <xf numFmtId="43" fontId="28" fillId="0" borderId="49" xfId="1" applyFont="1" applyFill="1" applyBorder="1" applyAlignment="1">
      <alignment horizontal="center" vertical="center"/>
    </xf>
    <xf numFmtId="43" fontId="28" fillId="0" borderId="49" xfId="1" applyFont="1" applyFill="1" applyBorder="1" applyAlignment="1">
      <alignment horizontal="center" vertical="center" wrapText="1"/>
    </xf>
    <xf numFmtId="0" fontId="28" fillId="0" borderId="50" xfId="0" applyFont="1" applyFill="1" applyBorder="1" applyAlignment="1">
      <alignment horizontal="right" vertical="center"/>
    </xf>
    <xf numFmtId="0" fontId="28" fillId="0" borderId="50" xfId="0" applyFont="1" applyFill="1" applyBorder="1" applyAlignment="1">
      <alignment horizontal="center" vertical="center"/>
    </xf>
    <xf numFmtId="0" fontId="28" fillId="0" borderId="50" xfId="0" applyFont="1" applyBorder="1" applyAlignment="1">
      <alignment horizontal="left" vertical="center"/>
    </xf>
    <xf numFmtId="0" fontId="28" fillId="0" borderId="50" xfId="0" applyFont="1" applyBorder="1" applyAlignment="1">
      <alignment horizontal="center" vertical="center"/>
    </xf>
    <xf numFmtId="43" fontId="28" fillId="0" borderId="50" xfId="1" applyFont="1" applyBorder="1" applyAlignment="1">
      <alignment horizontal="right" vertical="center"/>
    </xf>
    <xf numFmtId="43" fontId="38" fillId="0" borderId="50" xfId="1" applyFont="1" applyBorder="1" applyAlignment="1">
      <alignment horizontal="right" vertical="center" wrapText="1"/>
    </xf>
    <xf numFmtId="43" fontId="28" fillId="0" borderId="50" xfId="1" applyFont="1" applyFill="1" applyBorder="1" applyAlignment="1">
      <alignment horizontal="right" vertical="center" wrapText="1"/>
    </xf>
    <xf numFmtId="0" fontId="11" fillId="0" borderId="50" xfId="0" quotePrefix="1" applyFont="1" applyFill="1" applyBorder="1" applyAlignment="1">
      <alignment horizontal="center" vertical="center" wrapText="1"/>
    </xf>
    <xf numFmtId="0" fontId="11" fillId="0" borderId="50"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0" fillId="0" borderId="0" xfId="0" applyFont="1" applyAlignment="1"/>
    <xf numFmtId="49" fontId="11" fillId="0" borderId="51" xfId="0" applyNumberFormat="1" applyFont="1" applyBorder="1" applyAlignment="1">
      <alignment horizontal="center" vertical="center" wrapText="1"/>
    </xf>
    <xf numFmtId="0" fontId="0" fillId="0" borderId="0" xfId="0" applyFont="1" applyAlignment="1"/>
    <xf numFmtId="166" fontId="1" fillId="3" borderId="2" xfId="0" applyNumberFormat="1" applyFont="1" applyFill="1" applyBorder="1" applyAlignment="1">
      <alignment horizontal="center" vertical="center"/>
    </xf>
    <xf numFmtId="0" fontId="2" fillId="0" borderId="3" xfId="0" applyFont="1" applyBorder="1"/>
    <xf numFmtId="0" fontId="2" fillId="0" borderId="4" xfId="0" applyFont="1" applyBorder="1"/>
    <xf numFmtId="0" fontId="1" fillId="0" borderId="2" xfId="0" applyFont="1" applyBorder="1" applyAlignment="1">
      <alignment horizontal="left"/>
    </xf>
    <xf numFmtId="0" fontId="10" fillId="0" borderId="0" xfId="0" applyFont="1" applyAlignment="1">
      <alignment horizontal="center"/>
    </xf>
    <xf numFmtId="0" fontId="0" fillId="0" borderId="0" xfId="0" applyFont="1" applyAlignment="1"/>
    <xf numFmtId="4" fontId="9" fillId="5" borderId="14" xfId="0" applyNumberFormat="1" applyFont="1" applyFill="1" applyBorder="1" applyAlignment="1">
      <alignment horizontal="center" wrapText="1"/>
    </xf>
    <xf numFmtId="0" fontId="2" fillId="0" borderId="15" xfId="0" applyFont="1" applyBorder="1"/>
    <xf numFmtId="0" fontId="2" fillId="0" borderId="16" xfId="0" applyFont="1" applyBorder="1"/>
    <xf numFmtId="166" fontId="4" fillId="0" borderId="2" xfId="0" applyNumberFormat="1" applyFont="1" applyBorder="1" applyAlignment="1">
      <alignment horizontal="center" vertical="center"/>
    </xf>
    <xf numFmtId="2" fontId="1" fillId="0" borderId="2" xfId="0" applyNumberFormat="1" applyFont="1" applyBorder="1" applyAlignment="1">
      <alignment horizontal="left" vertical="center"/>
    </xf>
    <xf numFmtId="0" fontId="3" fillId="0" borderId="5" xfId="0" applyFont="1" applyBorder="1" applyAlignment="1">
      <alignment horizontal="center" vertical="center" wrapText="1"/>
    </xf>
    <xf numFmtId="0" fontId="2" fillId="0" borderId="6"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9" fontId="1" fillId="0" borderId="2" xfId="0" applyNumberFormat="1" applyFont="1" applyBorder="1" applyAlignment="1">
      <alignment horizontal="left" vertical="center"/>
    </xf>
    <xf numFmtId="0" fontId="4" fillId="2" borderId="2" xfId="0" applyFont="1" applyFill="1" applyBorder="1" applyAlignment="1">
      <alignment horizontal="center" vertical="center"/>
    </xf>
    <xf numFmtId="0" fontId="4" fillId="0" borderId="5"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4"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4" fontId="4" fillId="0" borderId="2" xfId="0" applyNumberFormat="1" applyFont="1" applyBorder="1" applyAlignment="1">
      <alignment horizontal="right" vertical="center"/>
    </xf>
    <xf numFmtId="0" fontId="1" fillId="0" borderId="0" xfId="0" applyFont="1" applyAlignment="1">
      <alignment horizontal="center" wrapText="1"/>
    </xf>
    <xf numFmtId="2" fontId="1" fillId="0" borderId="21" xfId="0" applyNumberFormat="1" applyFont="1" applyBorder="1" applyAlignment="1">
      <alignment horizontal="left" vertical="center"/>
    </xf>
    <xf numFmtId="0" fontId="4" fillId="0" borderId="5" xfId="0" applyFont="1" applyBorder="1" applyAlignment="1">
      <alignment horizontal="center" vertical="center" wrapText="1"/>
    </xf>
    <xf numFmtId="0" fontId="2" fillId="0" borderId="7" xfId="0" applyFont="1" applyBorder="1"/>
    <xf numFmtId="0" fontId="2" fillId="0" borderId="12" xfId="0" applyFont="1" applyBorder="1"/>
    <xf numFmtId="0" fontId="2" fillId="0" borderId="7"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0" fillId="0" borderId="0" xfId="0" applyFont="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1" fillId="0" borderId="2" xfId="0" applyFont="1" applyBorder="1" applyAlignment="1">
      <alignment horizontal="center" vertical="center"/>
    </xf>
    <xf numFmtId="0" fontId="2" fillId="0" borderId="21" xfId="0" applyFont="1" applyBorder="1"/>
    <xf numFmtId="0" fontId="1" fillId="0" borderId="21" xfId="0" applyFont="1" applyBorder="1" applyAlignment="1">
      <alignment horizontal="left" vertical="center" wrapText="1"/>
    </xf>
    <xf numFmtId="9" fontId="1" fillId="0" borderId="21" xfId="0" applyNumberFormat="1" applyFont="1" applyBorder="1" applyAlignment="1">
      <alignment horizontal="left" vertical="center"/>
    </xf>
    <xf numFmtId="43" fontId="1" fillId="0" borderId="26" xfId="1" applyFont="1" applyBorder="1" applyAlignment="1">
      <alignment horizontal="center" vertical="center"/>
    </xf>
    <xf numFmtId="43" fontId="1" fillId="0" borderId="34" xfId="1" applyFont="1" applyBorder="1" applyAlignment="1">
      <alignment horizontal="center" vertical="center"/>
    </xf>
    <xf numFmtId="43" fontId="1" fillId="0" borderId="18" xfId="1" applyFont="1" applyBorder="1" applyAlignment="1">
      <alignment horizontal="center" vertical="center"/>
    </xf>
    <xf numFmtId="0" fontId="5" fillId="0" borderId="2" xfId="0" applyFont="1" applyBorder="1" applyAlignment="1">
      <alignment horizontal="left"/>
    </xf>
    <xf numFmtId="0" fontId="4" fillId="0" borderId="5" xfId="0" applyFont="1" applyBorder="1" applyAlignment="1">
      <alignment horizontal="center" vertical="center" shrinkToFit="1"/>
    </xf>
    <xf numFmtId="0" fontId="5" fillId="0" borderId="2" xfId="0" applyFont="1" applyBorder="1" applyAlignment="1">
      <alignment horizontal="left" vertical="center"/>
    </xf>
    <xf numFmtId="0" fontId="4" fillId="0" borderId="22" xfId="0" applyFont="1" applyBorder="1" applyAlignment="1">
      <alignment horizontal="center" vertical="center" shrinkToFit="1"/>
    </xf>
    <xf numFmtId="0" fontId="5" fillId="0" borderId="10" xfId="0" applyFont="1" applyBorder="1" applyAlignment="1">
      <alignment horizontal="left" vertical="center"/>
    </xf>
    <xf numFmtId="0" fontId="2" fillId="0" borderId="22" xfId="0" applyFont="1" applyBorder="1" applyAlignment="1">
      <alignment horizontal="center"/>
    </xf>
    <xf numFmtId="0" fontId="2" fillId="0" borderId="16" xfId="0" applyFont="1" applyBorder="1" applyAlignment="1">
      <alignment horizontal="center"/>
    </xf>
    <xf numFmtId="2" fontId="1" fillId="0" borderId="5" xfId="0" applyNumberFormat="1" applyFont="1" applyBorder="1" applyAlignment="1">
      <alignment horizontal="left" vertical="center"/>
    </xf>
    <xf numFmtId="2" fontId="1" fillId="0" borderId="7" xfId="0" applyNumberFormat="1" applyFont="1" applyBorder="1" applyAlignment="1">
      <alignment horizontal="left" vertical="center"/>
    </xf>
    <xf numFmtId="0" fontId="2" fillId="0" borderId="25" xfId="0" applyFont="1" applyBorder="1"/>
    <xf numFmtId="0" fontId="1" fillId="0" borderId="42" xfId="0" applyFont="1" applyBorder="1" applyAlignment="1">
      <alignment horizontal="center" vertical="center"/>
    </xf>
    <xf numFmtId="0" fontId="2" fillId="0" borderId="42" xfId="0" applyFont="1" applyBorder="1"/>
    <xf numFmtId="0" fontId="1" fillId="0" borderId="21" xfId="0" applyFont="1" applyBorder="1" applyAlignment="1">
      <alignment horizontal="center" vertical="center"/>
    </xf>
    <xf numFmtId="0" fontId="4" fillId="0" borderId="7"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2" fillId="0" borderId="45" xfId="0" applyFont="1" applyBorder="1"/>
    <xf numFmtId="0" fontId="2" fillId="0" borderId="46" xfId="0" applyFont="1" applyBorder="1"/>
    <xf numFmtId="0" fontId="1" fillId="0" borderId="20" xfId="0" applyFont="1" applyBorder="1" applyAlignment="1">
      <alignment horizontal="left" vertical="center" wrapText="1"/>
    </xf>
    <xf numFmtId="0" fontId="2" fillId="0" borderId="19" xfId="0" applyFont="1" applyBorder="1"/>
    <xf numFmtId="9" fontId="1" fillId="0" borderId="20" xfId="0" applyNumberFormat="1" applyFont="1" applyBorder="1" applyAlignment="1">
      <alignment horizontal="left" vertical="center"/>
    </xf>
    <xf numFmtId="0" fontId="2" fillId="0" borderId="22" xfId="0" applyFont="1" applyBorder="1"/>
    <xf numFmtId="0" fontId="0" fillId="0" borderId="0" xfId="0"/>
    <xf numFmtId="0" fontId="2" fillId="0" borderId="10"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horizontal="left"/>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42" xfId="0" applyFont="1" applyBorder="1" applyAlignment="1">
      <alignment horizontal="center"/>
    </xf>
    <xf numFmtId="0" fontId="0" fillId="0" borderId="42" xfId="0" applyFont="1" applyBorder="1" applyAlignment="1"/>
    <xf numFmtId="0" fontId="18" fillId="6" borderId="10" xfId="0" applyFont="1" applyFill="1" applyBorder="1" applyAlignment="1">
      <alignment horizontal="center" wrapText="1"/>
    </xf>
    <xf numFmtId="0" fontId="19" fillId="6" borderId="14" xfId="0" applyFont="1" applyFill="1" applyBorder="1" applyAlignment="1">
      <alignment horizontal="center"/>
    </xf>
    <xf numFmtId="0" fontId="19" fillId="0" borderId="0" xfId="0" applyFont="1" applyAlignment="1">
      <alignment horizontal="center"/>
    </xf>
    <xf numFmtId="0" fontId="17" fillId="0" borderId="38" xfId="0" applyFont="1" applyBorder="1" applyAlignment="1">
      <alignment horizontal="center" vertical="center" wrapText="1"/>
    </xf>
    <xf numFmtId="0" fontId="2" fillId="0" borderId="39" xfId="0" applyFont="1" applyBorder="1"/>
    <xf numFmtId="0" fontId="2" fillId="0" borderId="40" xfId="0" applyFont="1" applyBorder="1"/>
  </cellXfs>
  <cellStyles count="23">
    <cellStyle name="Excel Built-in Normal" xfId="3" xr:uid="{00000000-0005-0000-0000-000000000000}"/>
    <cellStyle name="Moeda 13" xfId="5" xr:uid="{00000000-0005-0000-0000-000001000000}"/>
    <cellStyle name="Moeda 2" xfId="8" xr:uid="{00000000-0005-0000-0000-000002000000}"/>
    <cellStyle name="Moeda 2 2" xfId="12" xr:uid="{00000000-0005-0000-0000-000003000000}"/>
    <cellStyle name="Moeda 2 2 2" xfId="21" xr:uid="{00000000-0005-0000-0000-000004000000}"/>
    <cellStyle name="Moeda 2 3" xfId="17" xr:uid="{00000000-0005-0000-0000-000005000000}"/>
    <cellStyle name="Moeda 3" xfId="10" xr:uid="{00000000-0005-0000-0000-000006000000}"/>
    <cellStyle name="Moeda 3 2" xfId="19" xr:uid="{00000000-0005-0000-0000-000007000000}"/>
    <cellStyle name="Moeda 4" xfId="15" xr:uid="{00000000-0005-0000-0000-000008000000}"/>
    <cellStyle name="Normal" xfId="0" builtinId="0"/>
    <cellStyle name="Normal 10" xfId="4" xr:uid="{00000000-0005-0000-0000-00000A000000}"/>
    <cellStyle name="Normal 2" xfId="2" xr:uid="{00000000-0005-0000-0000-00000B000000}"/>
    <cellStyle name="Normal 3" xfId="7" xr:uid="{00000000-0005-0000-0000-00000C000000}"/>
    <cellStyle name="Normal 7" xfId="6" xr:uid="{00000000-0005-0000-0000-00000D000000}"/>
    <cellStyle name="Porcentagem" xfId="14" builtinId="5"/>
    <cellStyle name="Vírgula" xfId="1" builtinId="3"/>
    <cellStyle name="Vírgula 2" xfId="9" xr:uid="{00000000-0005-0000-0000-000010000000}"/>
    <cellStyle name="Vírgula 2 2" xfId="13" xr:uid="{00000000-0005-0000-0000-000011000000}"/>
    <cellStyle name="Vírgula 2 2 2" xfId="22" xr:uid="{00000000-0005-0000-0000-000012000000}"/>
    <cellStyle name="Vírgula 2 3" xfId="18" xr:uid="{00000000-0005-0000-0000-000013000000}"/>
    <cellStyle name="Vírgula 3" xfId="11" xr:uid="{00000000-0005-0000-0000-000014000000}"/>
    <cellStyle name="Vírgula 3 2" xfId="20" xr:uid="{00000000-0005-0000-0000-000015000000}"/>
    <cellStyle name="Vírgula 4" xfId="16" xr:uid="{00000000-0005-0000-0000-000016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160019</xdr:colOff>
      <xdr:row>0</xdr:row>
      <xdr:rowOff>30480</xdr:rowOff>
    </xdr:from>
    <xdr:to>
      <xdr:col>6</xdr:col>
      <xdr:colOff>222696</xdr:colOff>
      <xdr:row>3</xdr:row>
      <xdr:rowOff>215370</xdr:rowOff>
    </xdr:to>
    <xdr:pic>
      <xdr:nvPicPr>
        <xdr:cNvPr id="2" name="Imagem 2">
          <a:extLst>
            <a:ext uri="{FF2B5EF4-FFF2-40B4-BE49-F238E27FC236}">
              <a16:creationId xmlns:a16="http://schemas.microsoft.com/office/drawing/2014/main" id="{7EA61FA4-EF9D-44F6-94AA-41E7A4FC6E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98179" y="30480"/>
          <a:ext cx="801817" cy="889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160019</xdr:colOff>
      <xdr:row>0</xdr:row>
      <xdr:rowOff>30480</xdr:rowOff>
    </xdr:from>
    <xdr:to>
      <xdr:col>6</xdr:col>
      <xdr:colOff>222696</xdr:colOff>
      <xdr:row>3</xdr:row>
      <xdr:rowOff>215370</xdr:rowOff>
    </xdr:to>
    <xdr:pic>
      <xdr:nvPicPr>
        <xdr:cNvPr id="2" name="Imagem 2">
          <a:extLst>
            <a:ext uri="{FF2B5EF4-FFF2-40B4-BE49-F238E27FC236}">
              <a16:creationId xmlns:a16="http://schemas.microsoft.com/office/drawing/2014/main" id="{7D10F9DC-DC3F-4DF8-A48B-A6C1489ECB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98179" y="30480"/>
          <a:ext cx="801817" cy="889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160019</xdr:colOff>
      <xdr:row>0</xdr:row>
      <xdr:rowOff>12894</xdr:rowOff>
    </xdr:from>
    <xdr:to>
      <xdr:col>6</xdr:col>
      <xdr:colOff>222696</xdr:colOff>
      <xdr:row>4</xdr:row>
      <xdr:rowOff>3319</xdr:rowOff>
    </xdr:to>
    <xdr:pic>
      <xdr:nvPicPr>
        <xdr:cNvPr id="2" name="Imagem 1">
          <a:extLst>
            <a:ext uri="{FF2B5EF4-FFF2-40B4-BE49-F238E27FC236}">
              <a16:creationId xmlns:a16="http://schemas.microsoft.com/office/drawing/2014/main" id="{D865368C-4D93-436C-AB64-9C30072E70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6450" y="12894"/>
          <a:ext cx="801817" cy="9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160019</xdr:colOff>
      <xdr:row>0</xdr:row>
      <xdr:rowOff>30480</xdr:rowOff>
    </xdr:from>
    <xdr:to>
      <xdr:col>6</xdr:col>
      <xdr:colOff>226730</xdr:colOff>
      <xdr:row>3</xdr:row>
      <xdr:rowOff>215370</xdr:rowOff>
    </xdr:to>
    <xdr:pic>
      <xdr:nvPicPr>
        <xdr:cNvPr id="3" name="Imagem 2">
          <a:extLst>
            <a:ext uri="{FF2B5EF4-FFF2-40B4-BE49-F238E27FC236}">
              <a16:creationId xmlns:a16="http://schemas.microsoft.com/office/drawing/2014/main" id="{4111B3BA-792A-477A-81E1-E617A7363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899" y="30480"/>
          <a:ext cx="801817" cy="889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160019</xdr:colOff>
      <xdr:row>0</xdr:row>
      <xdr:rowOff>30480</xdr:rowOff>
    </xdr:from>
    <xdr:to>
      <xdr:col>6</xdr:col>
      <xdr:colOff>226730</xdr:colOff>
      <xdr:row>3</xdr:row>
      <xdr:rowOff>215370</xdr:rowOff>
    </xdr:to>
    <xdr:pic>
      <xdr:nvPicPr>
        <xdr:cNvPr id="2" name="Imagem 1">
          <a:extLst>
            <a:ext uri="{FF2B5EF4-FFF2-40B4-BE49-F238E27FC236}">
              <a16:creationId xmlns:a16="http://schemas.microsoft.com/office/drawing/2014/main" id="{49F7CDD0-E68D-479A-A57F-78FFF6E14E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899" y="30480"/>
          <a:ext cx="801817" cy="870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160019</xdr:colOff>
      <xdr:row>0</xdr:row>
      <xdr:rowOff>30480</xdr:rowOff>
    </xdr:from>
    <xdr:to>
      <xdr:col>6</xdr:col>
      <xdr:colOff>226730</xdr:colOff>
      <xdr:row>3</xdr:row>
      <xdr:rowOff>215370</xdr:rowOff>
    </xdr:to>
    <xdr:pic>
      <xdr:nvPicPr>
        <xdr:cNvPr id="2" name="Imagem 1">
          <a:extLst>
            <a:ext uri="{FF2B5EF4-FFF2-40B4-BE49-F238E27FC236}">
              <a16:creationId xmlns:a16="http://schemas.microsoft.com/office/drawing/2014/main" id="{5408A2F2-3410-4810-9886-39BDDD1809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899" y="30480"/>
          <a:ext cx="801817" cy="870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160019</xdr:colOff>
      <xdr:row>0</xdr:row>
      <xdr:rowOff>30480</xdr:rowOff>
    </xdr:from>
    <xdr:to>
      <xdr:col>6</xdr:col>
      <xdr:colOff>226730</xdr:colOff>
      <xdr:row>4</xdr:row>
      <xdr:rowOff>161582</xdr:rowOff>
    </xdr:to>
    <xdr:pic>
      <xdr:nvPicPr>
        <xdr:cNvPr id="2" name="Imagem 1">
          <a:extLst>
            <a:ext uri="{FF2B5EF4-FFF2-40B4-BE49-F238E27FC236}">
              <a16:creationId xmlns:a16="http://schemas.microsoft.com/office/drawing/2014/main" id="{34F0B3DE-CD7C-4D6D-A0E1-56BDB42704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899" y="30480"/>
          <a:ext cx="801817" cy="870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1828800</xdr:colOff>
      <xdr:row>23</xdr:row>
      <xdr:rowOff>0</xdr:rowOff>
    </xdr:from>
    <xdr:ext cx="0" cy="0"/>
    <xdr:sp macro="" textlink="">
      <xdr:nvSpPr>
        <xdr:cNvPr id="1507483" name="Shape 1507483">
          <a:extLst>
            <a:ext uri="{FF2B5EF4-FFF2-40B4-BE49-F238E27FC236}">
              <a16:creationId xmlns:a16="http://schemas.microsoft.com/office/drawing/2014/main" id="{00000000-0008-0000-1000-00009B001700}"/>
            </a:ext>
          </a:extLst>
        </xdr:cNvPr>
        <xdr:cNvSpPr/>
      </xdr:nvSpPr>
      <xdr:spPr>
        <a:xfrm>
          <a:off x="0" y="0"/>
          <a:ext cx="1" cy="1"/>
        </a:xfrm>
        <a:prstGeom prst="line">
          <a:avLst/>
        </a:prstGeom>
        <a:noFill/>
        <a:ln cap="flat" cmpd="sng" algn="ctr">
          <a:solidFill>
            <a:srgbClr val="000000"/>
          </a:solidFill>
          <a:miter lim="800000"/>
          <a:headEnd/>
          <a:tailEnd/>
        </a:ln>
      </xdr:spPr>
    </xdr:sp>
    <xdr:clientData fLocksWithSheet="0"/>
  </xdr:oneCellAnchor>
  <xdr:oneCellAnchor>
    <xdr:from>
      <xdr:col>3</xdr:col>
      <xdr:colOff>0</xdr:colOff>
      <xdr:row>11</xdr:row>
      <xdr:rowOff>0</xdr:rowOff>
    </xdr:from>
    <xdr:ext cx="0" cy="676275"/>
    <xdr:grpSp>
      <xdr:nvGrpSpPr>
        <xdr:cNvPr id="2" name="GroupShape 0">
          <a:extLst>
            <a:ext uri="{FF2B5EF4-FFF2-40B4-BE49-F238E27FC236}">
              <a16:creationId xmlns:a16="http://schemas.microsoft.com/office/drawing/2014/main" id="{00000000-0008-0000-1000-000002000000}"/>
            </a:ext>
          </a:extLst>
        </xdr:cNvPr>
        <xdr:cNvGrpSpPr/>
      </xdr:nvGrpSpPr>
      <xdr:grpSpPr>
        <a:xfrm>
          <a:off x="3217591" y="5169055"/>
          <a:ext cx="0" cy="676275"/>
          <a:chOff x="146" y="0"/>
          <a:chExt cx="176" cy="70"/>
        </a:xfrm>
      </xdr:grpSpPr>
      <xdr:sp macro="" textlink="">
        <xdr:nvSpPr>
          <xdr:cNvPr id="1507587" name="Shape 1507587">
            <a:extLst>
              <a:ext uri="{FF2B5EF4-FFF2-40B4-BE49-F238E27FC236}">
                <a16:creationId xmlns:a16="http://schemas.microsoft.com/office/drawing/2014/main" id="{00000000-0008-0000-1000-000003011700}"/>
              </a:ext>
            </a:extLst>
          </xdr:cNvPr>
          <xdr:cNvSpPr/>
        </xdr:nvSpPr>
        <xdr:spPr>
          <a:xfrm>
            <a:off x="2400300" y="-438343748"/>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88" name="Shape 1507588">
            <a:extLst>
              <a:ext uri="{FF2B5EF4-FFF2-40B4-BE49-F238E27FC236}">
                <a16:creationId xmlns:a16="http://schemas.microsoft.com/office/drawing/2014/main" id="{00000000-0008-0000-1000-00000401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89" name="Shape 1507589">
            <a:extLst>
              <a:ext uri="{FF2B5EF4-FFF2-40B4-BE49-F238E27FC236}">
                <a16:creationId xmlns:a16="http://schemas.microsoft.com/office/drawing/2014/main" id="{00000000-0008-0000-1000-00000501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90" name="Shape 1507590">
            <a:extLst>
              <a:ext uri="{FF2B5EF4-FFF2-40B4-BE49-F238E27FC236}">
                <a16:creationId xmlns:a16="http://schemas.microsoft.com/office/drawing/2014/main" id="{00000000-0008-0000-1000-00000601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91" name="Picture 1507591">
            <a:extLst>
              <a:ext uri="{FF2B5EF4-FFF2-40B4-BE49-F238E27FC236}">
                <a16:creationId xmlns:a16="http://schemas.microsoft.com/office/drawing/2014/main" id="{00000000-0008-0000-1000-00000701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11</xdr:row>
      <xdr:rowOff>0</xdr:rowOff>
    </xdr:from>
    <xdr:ext cx="0" cy="676275"/>
    <xdr:grpSp>
      <xdr:nvGrpSpPr>
        <xdr:cNvPr id="3" name="GroupShape 0">
          <a:extLst>
            <a:ext uri="{FF2B5EF4-FFF2-40B4-BE49-F238E27FC236}">
              <a16:creationId xmlns:a16="http://schemas.microsoft.com/office/drawing/2014/main" id="{00000000-0008-0000-1000-000003000000}"/>
            </a:ext>
          </a:extLst>
        </xdr:cNvPr>
        <xdr:cNvGrpSpPr/>
      </xdr:nvGrpSpPr>
      <xdr:grpSpPr>
        <a:xfrm>
          <a:off x="3217591" y="5169055"/>
          <a:ext cx="0" cy="676275"/>
          <a:chOff x="146" y="0"/>
          <a:chExt cx="176" cy="70"/>
        </a:xfrm>
      </xdr:grpSpPr>
      <xdr:sp macro="" textlink="">
        <xdr:nvSpPr>
          <xdr:cNvPr id="1507582" name="Shape 1507582">
            <a:extLst>
              <a:ext uri="{FF2B5EF4-FFF2-40B4-BE49-F238E27FC236}">
                <a16:creationId xmlns:a16="http://schemas.microsoft.com/office/drawing/2014/main" id="{00000000-0008-0000-1000-0000FE001700}"/>
              </a:ext>
            </a:extLst>
          </xdr:cNvPr>
          <xdr:cNvSpPr/>
        </xdr:nvSpPr>
        <xdr:spPr>
          <a:xfrm>
            <a:off x="2400300" y="-438343748"/>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83" name="Shape 1507583">
            <a:extLst>
              <a:ext uri="{FF2B5EF4-FFF2-40B4-BE49-F238E27FC236}">
                <a16:creationId xmlns:a16="http://schemas.microsoft.com/office/drawing/2014/main" id="{00000000-0008-0000-1000-0000FF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84" name="Shape 1507584">
            <a:extLst>
              <a:ext uri="{FF2B5EF4-FFF2-40B4-BE49-F238E27FC236}">
                <a16:creationId xmlns:a16="http://schemas.microsoft.com/office/drawing/2014/main" id="{00000000-0008-0000-1000-00000001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85" name="Shape 1507585">
            <a:extLst>
              <a:ext uri="{FF2B5EF4-FFF2-40B4-BE49-F238E27FC236}">
                <a16:creationId xmlns:a16="http://schemas.microsoft.com/office/drawing/2014/main" id="{00000000-0008-0000-1000-00000101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86" name="Picture 1507586">
            <a:extLst>
              <a:ext uri="{FF2B5EF4-FFF2-40B4-BE49-F238E27FC236}">
                <a16:creationId xmlns:a16="http://schemas.microsoft.com/office/drawing/2014/main" id="{00000000-0008-0000-1000-00000201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13</xdr:row>
      <xdr:rowOff>0</xdr:rowOff>
    </xdr:from>
    <xdr:ext cx="0" cy="381000"/>
    <xdr:grpSp>
      <xdr:nvGrpSpPr>
        <xdr:cNvPr id="4" name="GroupShape 0">
          <a:extLst>
            <a:ext uri="{FF2B5EF4-FFF2-40B4-BE49-F238E27FC236}">
              <a16:creationId xmlns:a16="http://schemas.microsoft.com/office/drawing/2014/main" id="{00000000-0008-0000-1000-000004000000}"/>
            </a:ext>
          </a:extLst>
        </xdr:cNvPr>
        <xdr:cNvGrpSpPr/>
      </xdr:nvGrpSpPr>
      <xdr:grpSpPr>
        <a:xfrm>
          <a:off x="3217591" y="5935701"/>
          <a:ext cx="0" cy="381000"/>
          <a:chOff x="146" y="0"/>
          <a:chExt cx="176" cy="70"/>
        </a:xfrm>
      </xdr:grpSpPr>
      <xdr:sp macro="" textlink="">
        <xdr:nvSpPr>
          <xdr:cNvPr id="1507577" name="Shape 1507577">
            <a:extLst>
              <a:ext uri="{FF2B5EF4-FFF2-40B4-BE49-F238E27FC236}">
                <a16:creationId xmlns:a16="http://schemas.microsoft.com/office/drawing/2014/main" id="{00000000-0008-0000-1000-0000F9001700}"/>
              </a:ext>
            </a:extLst>
          </xdr:cNvPr>
          <xdr:cNvSpPr/>
        </xdr:nvSpPr>
        <xdr:spPr>
          <a:xfrm>
            <a:off x="2400300" y="1933009083"/>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78" name="Shape 1507578">
            <a:extLst>
              <a:ext uri="{FF2B5EF4-FFF2-40B4-BE49-F238E27FC236}">
                <a16:creationId xmlns:a16="http://schemas.microsoft.com/office/drawing/2014/main" id="{00000000-0008-0000-1000-0000FA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79" name="Shape 1507579">
            <a:extLst>
              <a:ext uri="{FF2B5EF4-FFF2-40B4-BE49-F238E27FC236}">
                <a16:creationId xmlns:a16="http://schemas.microsoft.com/office/drawing/2014/main" id="{00000000-0008-0000-1000-0000FB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80" name="Shape 1507580">
            <a:extLst>
              <a:ext uri="{FF2B5EF4-FFF2-40B4-BE49-F238E27FC236}">
                <a16:creationId xmlns:a16="http://schemas.microsoft.com/office/drawing/2014/main" id="{00000000-0008-0000-1000-0000FC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667652" name="Picture 667652">
            <a:extLst>
              <a:ext uri="{FF2B5EF4-FFF2-40B4-BE49-F238E27FC236}">
                <a16:creationId xmlns:a16="http://schemas.microsoft.com/office/drawing/2014/main" id="{00000000-0008-0000-1000-000004300A00}"/>
              </a:ext>
            </a:extLst>
          </xdr:cNvPr>
          <xdr:cNvPicPr/>
        </xdr:nvPicPr>
        <xdr:blipFill>
          <a:blip xmlns:r="http://schemas.openxmlformats.org/officeDocument/2006/relationships" r:embed="rId2" cstate="print"/>
          <a:srcRect/>
          <a:stretch>
            <a:fillRect/>
          </a:stretch>
        </xdr:blipFill>
        <xdr:spPr>
          <a:xfrm>
            <a:off x="0" y="0"/>
            <a:ext cx="1" cy="1"/>
          </a:xfrm>
          <a:prstGeom prst="rect">
            <a:avLst/>
          </a:prstGeom>
          <a:ln cap="flat" cmpd="sng" algn="ctr">
            <a:miter lim="800000"/>
            <a:headEnd/>
            <a:tailEnd/>
          </a:ln>
        </xdr:spPr>
      </xdr:pic>
      <xdr:pic>
        <xdr:nvPicPr>
          <xdr:cNvPr id="1507581" name="Picture 1507581">
            <a:extLst>
              <a:ext uri="{FF2B5EF4-FFF2-40B4-BE49-F238E27FC236}">
                <a16:creationId xmlns:a16="http://schemas.microsoft.com/office/drawing/2014/main" id="{00000000-0008-0000-1000-0000FD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13</xdr:row>
      <xdr:rowOff>0</xdr:rowOff>
    </xdr:from>
    <xdr:ext cx="0" cy="381000"/>
    <xdr:grpSp>
      <xdr:nvGrpSpPr>
        <xdr:cNvPr id="5" name="GroupShape 0">
          <a:extLst>
            <a:ext uri="{FF2B5EF4-FFF2-40B4-BE49-F238E27FC236}">
              <a16:creationId xmlns:a16="http://schemas.microsoft.com/office/drawing/2014/main" id="{00000000-0008-0000-1000-000005000000}"/>
            </a:ext>
          </a:extLst>
        </xdr:cNvPr>
        <xdr:cNvGrpSpPr/>
      </xdr:nvGrpSpPr>
      <xdr:grpSpPr>
        <a:xfrm>
          <a:off x="3217591" y="5935701"/>
          <a:ext cx="0" cy="381000"/>
          <a:chOff x="146" y="0"/>
          <a:chExt cx="176" cy="70"/>
        </a:xfrm>
      </xdr:grpSpPr>
      <xdr:sp macro="" textlink="">
        <xdr:nvSpPr>
          <xdr:cNvPr id="1507572" name="Shape 1507572">
            <a:extLst>
              <a:ext uri="{FF2B5EF4-FFF2-40B4-BE49-F238E27FC236}">
                <a16:creationId xmlns:a16="http://schemas.microsoft.com/office/drawing/2014/main" id="{00000000-0008-0000-1000-0000F4001700}"/>
              </a:ext>
            </a:extLst>
          </xdr:cNvPr>
          <xdr:cNvSpPr/>
        </xdr:nvSpPr>
        <xdr:spPr>
          <a:xfrm>
            <a:off x="2400300" y="1933009083"/>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73" name="Shape 1507573">
            <a:extLst>
              <a:ext uri="{FF2B5EF4-FFF2-40B4-BE49-F238E27FC236}">
                <a16:creationId xmlns:a16="http://schemas.microsoft.com/office/drawing/2014/main" id="{00000000-0008-0000-1000-0000F5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74" name="Shape 1507574">
            <a:extLst>
              <a:ext uri="{FF2B5EF4-FFF2-40B4-BE49-F238E27FC236}">
                <a16:creationId xmlns:a16="http://schemas.microsoft.com/office/drawing/2014/main" id="{00000000-0008-0000-1000-0000F6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75" name="Shape 1507575">
            <a:extLst>
              <a:ext uri="{FF2B5EF4-FFF2-40B4-BE49-F238E27FC236}">
                <a16:creationId xmlns:a16="http://schemas.microsoft.com/office/drawing/2014/main" id="{00000000-0008-0000-1000-0000F7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76" name="Picture 1507576">
            <a:extLst>
              <a:ext uri="{FF2B5EF4-FFF2-40B4-BE49-F238E27FC236}">
                <a16:creationId xmlns:a16="http://schemas.microsoft.com/office/drawing/2014/main" id="{00000000-0008-0000-1000-0000F8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13</xdr:row>
      <xdr:rowOff>0</xdr:rowOff>
    </xdr:from>
    <xdr:ext cx="0" cy="295275"/>
    <xdr:grpSp>
      <xdr:nvGrpSpPr>
        <xdr:cNvPr id="6" name="GroupShape 0">
          <a:extLst>
            <a:ext uri="{FF2B5EF4-FFF2-40B4-BE49-F238E27FC236}">
              <a16:creationId xmlns:a16="http://schemas.microsoft.com/office/drawing/2014/main" id="{00000000-0008-0000-1000-000006000000}"/>
            </a:ext>
          </a:extLst>
        </xdr:cNvPr>
        <xdr:cNvGrpSpPr/>
      </xdr:nvGrpSpPr>
      <xdr:grpSpPr>
        <a:xfrm>
          <a:off x="3217591" y="5935701"/>
          <a:ext cx="0" cy="295275"/>
          <a:chOff x="146" y="0"/>
          <a:chExt cx="176" cy="70"/>
        </a:xfrm>
      </xdr:grpSpPr>
      <xdr:sp macro="" textlink="">
        <xdr:nvSpPr>
          <xdr:cNvPr id="1507567" name="Shape 1507567">
            <a:extLst>
              <a:ext uri="{FF2B5EF4-FFF2-40B4-BE49-F238E27FC236}">
                <a16:creationId xmlns:a16="http://schemas.microsoft.com/office/drawing/2014/main" id="{00000000-0008-0000-1000-0000EF001700}"/>
              </a:ext>
            </a:extLst>
          </xdr:cNvPr>
          <xdr:cNvSpPr/>
        </xdr:nvSpPr>
        <xdr:spPr>
          <a:xfrm>
            <a:off x="2400300" y="-1057512554"/>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68" name="Shape 1507568">
            <a:extLst>
              <a:ext uri="{FF2B5EF4-FFF2-40B4-BE49-F238E27FC236}">
                <a16:creationId xmlns:a16="http://schemas.microsoft.com/office/drawing/2014/main" id="{00000000-0008-0000-1000-0000F0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69" name="Shape 1507569">
            <a:extLst>
              <a:ext uri="{FF2B5EF4-FFF2-40B4-BE49-F238E27FC236}">
                <a16:creationId xmlns:a16="http://schemas.microsoft.com/office/drawing/2014/main" id="{00000000-0008-0000-1000-0000F1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70" name="Shape 1507570">
            <a:extLst>
              <a:ext uri="{FF2B5EF4-FFF2-40B4-BE49-F238E27FC236}">
                <a16:creationId xmlns:a16="http://schemas.microsoft.com/office/drawing/2014/main" id="{00000000-0008-0000-1000-0000F2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71" name="Picture 1507571">
            <a:extLst>
              <a:ext uri="{FF2B5EF4-FFF2-40B4-BE49-F238E27FC236}">
                <a16:creationId xmlns:a16="http://schemas.microsoft.com/office/drawing/2014/main" id="{00000000-0008-0000-1000-0000F3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13</xdr:row>
      <xdr:rowOff>0</xdr:rowOff>
    </xdr:from>
    <xdr:ext cx="0" cy="295275"/>
    <xdr:grpSp>
      <xdr:nvGrpSpPr>
        <xdr:cNvPr id="7" name="GroupShape 0">
          <a:extLst>
            <a:ext uri="{FF2B5EF4-FFF2-40B4-BE49-F238E27FC236}">
              <a16:creationId xmlns:a16="http://schemas.microsoft.com/office/drawing/2014/main" id="{00000000-0008-0000-1000-000007000000}"/>
            </a:ext>
          </a:extLst>
        </xdr:cNvPr>
        <xdr:cNvGrpSpPr/>
      </xdr:nvGrpSpPr>
      <xdr:grpSpPr>
        <a:xfrm>
          <a:off x="3217591" y="5935701"/>
          <a:ext cx="0" cy="295275"/>
          <a:chOff x="146" y="0"/>
          <a:chExt cx="176" cy="70"/>
        </a:xfrm>
      </xdr:grpSpPr>
      <xdr:sp macro="" textlink="">
        <xdr:nvSpPr>
          <xdr:cNvPr id="1507562" name="Shape 1507562">
            <a:extLst>
              <a:ext uri="{FF2B5EF4-FFF2-40B4-BE49-F238E27FC236}">
                <a16:creationId xmlns:a16="http://schemas.microsoft.com/office/drawing/2014/main" id="{00000000-0008-0000-1000-0000EA001700}"/>
              </a:ext>
            </a:extLst>
          </xdr:cNvPr>
          <xdr:cNvSpPr/>
        </xdr:nvSpPr>
        <xdr:spPr>
          <a:xfrm>
            <a:off x="2400300" y="-1057512554"/>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63" name="Shape 1507563">
            <a:extLst>
              <a:ext uri="{FF2B5EF4-FFF2-40B4-BE49-F238E27FC236}">
                <a16:creationId xmlns:a16="http://schemas.microsoft.com/office/drawing/2014/main" id="{00000000-0008-0000-1000-0000EB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64" name="Shape 1507564">
            <a:extLst>
              <a:ext uri="{FF2B5EF4-FFF2-40B4-BE49-F238E27FC236}">
                <a16:creationId xmlns:a16="http://schemas.microsoft.com/office/drawing/2014/main" id="{00000000-0008-0000-1000-0000EC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65" name="Shape 1507565">
            <a:extLst>
              <a:ext uri="{FF2B5EF4-FFF2-40B4-BE49-F238E27FC236}">
                <a16:creationId xmlns:a16="http://schemas.microsoft.com/office/drawing/2014/main" id="{00000000-0008-0000-1000-0000ED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66" name="Picture 1507566">
            <a:extLst>
              <a:ext uri="{FF2B5EF4-FFF2-40B4-BE49-F238E27FC236}">
                <a16:creationId xmlns:a16="http://schemas.microsoft.com/office/drawing/2014/main" id="{00000000-0008-0000-1000-0000EE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13</xdr:row>
      <xdr:rowOff>0</xdr:rowOff>
    </xdr:from>
    <xdr:ext cx="0" cy="485775"/>
    <xdr:grpSp>
      <xdr:nvGrpSpPr>
        <xdr:cNvPr id="8" name="GroupShape 0">
          <a:extLst>
            <a:ext uri="{FF2B5EF4-FFF2-40B4-BE49-F238E27FC236}">
              <a16:creationId xmlns:a16="http://schemas.microsoft.com/office/drawing/2014/main" id="{00000000-0008-0000-1000-000008000000}"/>
            </a:ext>
          </a:extLst>
        </xdr:cNvPr>
        <xdr:cNvGrpSpPr/>
      </xdr:nvGrpSpPr>
      <xdr:grpSpPr>
        <a:xfrm>
          <a:off x="3217591" y="5935701"/>
          <a:ext cx="0" cy="485775"/>
          <a:chOff x="146" y="0"/>
          <a:chExt cx="176" cy="70"/>
        </a:xfrm>
      </xdr:grpSpPr>
      <xdr:sp macro="" textlink="">
        <xdr:nvSpPr>
          <xdr:cNvPr id="1507557" name="Shape 1507557">
            <a:extLst>
              <a:ext uri="{FF2B5EF4-FFF2-40B4-BE49-F238E27FC236}">
                <a16:creationId xmlns:a16="http://schemas.microsoft.com/office/drawing/2014/main" id="{00000000-0008-0000-1000-0000E5001700}"/>
              </a:ext>
            </a:extLst>
          </xdr:cNvPr>
          <xdr:cNvSpPr/>
        </xdr:nvSpPr>
        <xdr:spPr>
          <a:xfrm>
            <a:off x="2400300" y="1139231233"/>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58" name="Shape 1507558">
            <a:extLst>
              <a:ext uri="{FF2B5EF4-FFF2-40B4-BE49-F238E27FC236}">
                <a16:creationId xmlns:a16="http://schemas.microsoft.com/office/drawing/2014/main" id="{00000000-0008-0000-1000-0000E6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59" name="Shape 1507559">
            <a:extLst>
              <a:ext uri="{FF2B5EF4-FFF2-40B4-BE49-F238E27FC236}">
                <a16:creationId xmlns:a16="http://schemas.microsoft.com/office/drawing/2014/main" id="{00000000-0008-0000-1000-0000E7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60" name="Shape 1507560">
            <a:extLst>
              <a:ext uri="{FF2B5EF4-FFF2-40B4-BE49-F238E27FC236}">
                <a16:creationId xmlns:a16="http://schemas.microsoft.com/office/drawing/2014/main" id="{00000000-0008-0000-1000-0000E8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61" name="Picture 1507561">
            <a:extLst>
              <a:ext uri="{FF2B5EF4-FFF2-40B4-BE49-F238E27FC236}">
                <a16:creationId xmlns:a16="http://schemas.microsoft.com/office/drawing/2014/main" id="{00000000-0008-0000-1000-0000E9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13</xdr:row>
      <xdr:rowOff>0</xdr:rowOff>
    </xdr:from>
    <xdr:ext cx="0" cy="485775"/>
    <xdr:grpSp>
      <xdr:nvGrpSpPr>
        <xdr:cNvPr id="9" name="GroupShape 0">
          <a:extLst>
            <a:ext uri="{FF2B5EF4-FFF2-40B4-BE49-F238E27FC236}">
              <a16:creationId xmlns:a16="http://schemas.microsoft.com/office/drawing/2014/main" id="{00000000-0008-0000-1000-000009000000}"/>
            </a:ext>
          </a:extLst>
        </xdr:cNvPr>
        <xdr:cNvGrpSpPr/>
      </xdr:nvGrpSpPr>
      <xdr:grpSpPr>
        <a:xfrm>
          <a:off x="3217591" y="5935701"/>
          <a:ext cx="0" cy="485775"/>
          <a:chOff x="146" y="0"/>
          <a:chExt cx="176" cy="70"/>
        </a:xfrm>
      </xdr:grpSpPr>
      <xdr:sp macro="" textlink="">
        <xdr:nvSpPr>
          <xdr:cNvPr id="1507552" name="Shape 1507552">
            <a:extLst>
              <a:ext uri="{FF2B5EF4-FFF2-40B4-BE49-F238E27FC236}">
                <a16:creationId xmlns:a16="http://schemas.microsoft.com/office/drawing/2014/main" id="{00000000-0008-0000-1000-0000E0001700}"/>
              </a:ext>
            </a:extLst>
          </xdr:cNvPr>
          <xdr:cNvSpPr/>
        </xdr:nvSpPr>
        <xdr:spPr>
          <a:xfrm>
            <a:off x="2400300" y="1139231233"/>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53" name="Shape 1507553">
            <a:extLst>
              <a:ext uri="{FF2B5EF4-FFF2-40B4-BE49-F238E27FC236}">
                <a16:creationId xmlns:a16="http://schemas.microsoft.com/office/drawing/2014/main" id="{00000000-0008-0000-1000-0000E1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54" name="Shape 1507554">
            <a:extLst>
              <a:ext uri="{FF2B5EF4-FFF2-40B4-BE49-F238E27FC236}">
                <a16:creationId xmlns:a16="http://schemas.microsoft.com/office/drawing/2014/main" id="{00000000-0008-0000-1000-0000E2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55" name="Shape 1507555">
            <a:extLst>
              <a:ext uri="{FF2B5EF4-FFF2-40B4-BE49-F238E27FC236}">
                <a16:creationId xmlns:a16="http://schemas.microsoft.com/office/drawing/2014/main" id="{00000000-0008-0000-1000-0000E3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56" name="Picture 1507556">
            <a:extLst>
              <a:ext uri="{FF2B5EF4-FFF2-40B4-BE49-F238E27FC236}">
                <a16:creationId xmlns:a16="http://schemas.microsoft.com/office/drawing/2014/main" id="{00000000-0008-0000-1000-0000E4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15</xdr:row>
      <xdr:rowOff>0</xdr:rowOff>
    </xdr:from>
    <xdr:ext cx="0" cy="1019175"/>
    <xdr:grpSp>
      <xdr:nvGrpSpPr>
        <xdr:cNvPr id="10" name="GroupShape 0">
          <a:extLst>
            <a:ext uri="{FF2B5EF4-FFF2-40B4-BE49-F238E27FC236}">
              <a16:creationId xmlns:a16="http://schemas.microsoft.com/office/drawing/2014/main" id="{00000000-0008-0000-1000-00000A000000}"/>
            </a:ext>
          </a:extLst>
        </xdr:cNvPr>
        <xdr:cNvGrpSpPr/>
      </xdr:nvGrpSpPr>
      <xdr:grpSpPr>
        <a:xfrm>
          <a:off x="3217591" y="6702348"/>
          <a:ext cx="0" cy="1019175"/>
          <a:chOff x="146" y="0"/>
          <a:chExt cx="176" cy="70"/>
        </a:xfrm>
      </xdr:grpSpPr>
      <xdr:sp macro="" textlink="">
        <xdr:nvSpPr>
          <xdr:cNvPr id="1507547" name="Shape 1507547">
            <a:extLst>
              <a:ext uri="{FF2B5EF4-FFF2-40B4-BE49-F238E27FC236}">
                <a16:creationId xmlns:a16="http://schemas.microsoft.com/office/drawing/2014/main" id="{00000000-0008-0000-1000-0000DB001700}"/>
              </a:ext>
            </a:extLst>
          </xdr:cNvPr>
          <xdr:cNvSpPr/>
        </xdr:nvSpPr>
        <xdr:spPr>
          <a:xfrm>
            <a:off x="2400300" y="-1047538769"/>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48" name="Shape 1507548">
            <a:extLst>
              <a:ext uri="{FF2B5EF4-FFF2-40B4-BE49-F238E27FC236}">
                <a16:creationId xmlns:a16="http://schemas.microsoft.com/office/drawing/2014/main" id="{00000000-0008-0000-1000-0000DC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49" name="Shape 1507549">
            <a:extLst>
              <a:ext uri="{FF2B5EF4-FFF2-40B4-BE49-F238E27FC236}">
                <a16:creationId xmlns:a16="http://schemas.microsoft.com/office/drawing/2014/main" id="{00000000-0008-0000-1000-0000DD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50" name="Shape 1507550">
            <a:extLst>
              <a:ext uri="{FF2B5EF4-FFF2-40B4-BE49-F238E27FC236}">
                <a16:creationId xmlns:a16="http://schemas.microsoft.com/office/drawing/2014/main" id="{00000000-0008-0000-1000-0000DE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51" name="Picture 1507551">
            <a:extLst>
              <a:ext uri="{FF2B5EF4-FFF2-40B4-BE49-F238E27FC236}">
                <a16:creationId xmlns:a16="http://schemas.microsoft.com/office/drawing/2014/main" id="{00000000-0008-0000-1000-0000DF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15</xdr:row>
      <xdr:rowOff>0</xdr:rowOff>
    </xdr:from>
    <xdr:ext cx="0" cy="1019175"/>
    <xdr:grpSp>
      <xdr:nvGrpSpPr>
        <xdr:cNvPr id="11" name="GroupShape 0">
          <a:extLst>
            <a:ext uri="{FF2B5EF4-FFF2-40B4-BE49-F238E27FC236}">
              <a16:creationId xmlns:a16="http://schemas.microsoft.com/office/drawing/2014/main" id="{00000000-0008-0000-1000-00000B000000}"/>
            </a:ext>
          </a:extLst>
        </xdr:cNvPr>
        <xdr:cNvGrpSpPr/>
      </xdr:nvGrpSpPr>
      <xdr:grpSpPr>
        <a:xfrm>
          <a:off x="3217591" y="6702348"/>
          <a:ext cx="0" cy="1019175"/>
          <a:chOff x="146" y="0"/>
          <a:chExt cx="176" cy="70"/>
        </a:xfrm>
      </xdr:grpSpPr>
      <xdr:sp macro="" textlink="">
        <xdr:nvSpPr>
          <xdr:cNvPr id="1507542" name="Shape 1507542">
            <a:extLst>
              <a:ext uri="{FF2B5EF4-FFF2-40B4-BE49-F238E27FC236}">
                <a16:creationId xmlns:a16="http://schemas.microsoft.com/office/drawing/2014/main" id="{00000000-0008-0000-1000-0000D6001700}"/>
              </a:ext>
            </a:extLst>
          </xdr:cNvPr>
          <xdr:cNvSpPr/>
        </xdr:nvSpPr>
        <xdr:spPr>
          <a:xfrm>
            <a:off x="2400300" y="-1047538769"/>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43" name="Shape 1507543">
            <a:extLst>
              <a:ext uri="{FF2B5EF4-FFF2-40B4-BE49-F238E27FC236}">
                <a16:creationId xmlns:a16="http://schemas.microsoft.com/office/drawing/2014/main" id="{00000000-0008-0000-1000-0000D7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44" name="Shape 1507544">
            <a:extLst>
              <a:ext uri="{FF2B5EF4-FFF2-40B4-BE49-F238E27FC236}">
                <a16:creationId xmlns:a16="http://schemas.microsoft.com/office/drawing/2014/main" id="{00000000-0008-0000-1000-0000D8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45" name="Shape 1507545">
            <a:extLst>
              <a:ext uri="{FF2B5EF4-FFF2-40B4-BE49-F238E27FC236}">
                <a16:creationId xmlns:a16="http://schemas.microsoft.com/office/drawing/2014/main" id="{00000000-0008-0000-1000-0000D9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46" name="Picture 1507546">
            <a:extLst>
              <a:ext uri="{FF2B5EF4-FFF2-40B4-BE49-F238E27FC236}">
                <a16:creationId xmlns:a16="http://schemas.microsoft.com/office/drawing/2014/main" id="{00000000-0008-0000-1000-0000DA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15</xdr:row>
      <xdr:rowOff>0</xdr:rowOff>
    </xdr:from>
    <xdr:ext cx="0" cy="1019175"/>
    <xdr:grpSp>
      <xdr:nvGrpSpPr>
        <xdr:cNvPr id="12" name="GroupShape 0">
          <a:extLst>
            <a:ext uri="{FF2B5EF4-FFF2-40B4-BE49-F238E27FC236}">
              <a16:creationId xmlns:a16="http://schemas.microsoft.com/office/drawing/2014/main" id="{00000000-0008-0000-1000-00000C000000}"/>
            </a:ext>
          </a:extLst>
        </xdr:cNvPr>
        <xdr:cNvGrpSpPr/>
      </xdr:nvGrpSpPr>
      <xdr:grpSpPr>
        <a:xfrm>
          <a:off x="3217591" y="6702348"/>
          <a:ext cx="0" cy="1019175"/>
          <a:chOff x="146" y="0"/>
          <a:chExt cx="176" cy="70"/>
        </a:xfrm>
      </xdr:grpSpPr>
      <xdr:sp macro="" textlink="">
        <xdr:nvSpPr>
          <xdr:cNvPr id="1507537" name="Shape 1507537">
            <a:extLst>
              <a:ext uri="{FF2B5EF4-FFF2-40B4-BE49-F238E27FC236}">
                <a16:creationId xmlns:a16="http://schemas.microsoft.com/office/drawing/2014/main" id="{00000000-0008-0000-1000-0000D1001700}"/>
              </a:ext>
            </a:extLst>
          </xdr:cNvPr>
          <xdr:cNvSpPr/>
        </xdr:nvSpPr>
        <xdr:spPr>
          <a:xfrm>
            <a:off x="2400300" y="-1047538769"/>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38" name="Shape 1507538">
            <a:extLst>
              <a:ext uri="{FF2B5EF4-FFF2-40B4-BE49-F238E27FC236}">
                <a16:creationId xmlns:a16="http://schemas.microsoft.com/office/drawing/2014/main" id="{00000000-0008-0000-1000-0000D2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39" name="Shape 1507539">
            <a:extLst>
              <a:ext uri="{FF2B5EF4-FFF2-40B4-BE49-F238E27FC236}">
                <a16:creationId xmlns:a16="http://schemas.microsoft.com/office/drawing/2014/main" id="{00000000-0008-0000-1000-0000D3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40" name="Shape 1507540">
            <a:extLst>
              <a:ext uri="{FF2B5EF4-FFF2-40B4-BE49-F238E27FC236}">
                <a16:creationId xmlns:a16="http://schemas.microsoft.com/office/drawing/2014/main" id="{00000000-0008-0000-1000-0000D4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41" name="Picture 1507541">
            <a:extLst>
              <a:ext uri="{FF2B5EF4-FFF2-40B4-BE49-F238E27FC236}">
                <a16:creationId xmlns:a16="http://schemas.microsoft.com/office/drawing/2014/main" id="{00000000-0008-0000-1000-0000D5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15</xdr:row>
      <xdr:rowOff>0</xdr:rowOff>
    </xdr:from>
    <xdr:ext cx="0" cy="1019175"/>
    <xdr:grpSp>
      <xdr:nvGrpSpPr>
        <xdr:cNvPr id="13" name="GroupShape 0">
          <a:extLst>
            <a:ext uri="{FF2B5EF4-FFF2-40B4-BE49-F238E27FC236}">
              <a16:creationId xmlns:a16="http://schemas.microsoft.com/office/drawing/2014/main" id="{00000000-0008-0000-1000-00000D000000}"/>
            </a:ext>
          </a:extLst>
        </xdr:cNvPr>
        <xdr:cNvGrpSpPr/>
      </xdr:nvGrpSpPr>
      <xdr:grpSpPr>
        <a:xfrm>
          <a:off x="3217591" y="6702348"/>
          <a:ext cx="0" cy="1019175"/>
          <a:chOff x="146" y="0"/>
          <a:chExt cx="176" cy="70"/>
        </a:xfrm>
      </xdr:grpSpPr>
      <xdr:sp macro="" textlink="">
        <xdr:nvSpPr>
          <xdr:cNvPr id="1507532" name="Shape 1507532">
            <a:extLst>
              <a:ext uri="{FF2B5EF4-FFF2-40B4-BE49-F238E27FC236}">
                <a16:creationId xmlns:a16="http://schemas.microsoft.com/office/drawing/2014/main" id="{00000000-0008-0000-1000-0000CC001700}"/>
              </a:ext>
            </a:extLst>
          </xdr:cNvPr>
          <xdr:cNvSpPr/>
        </xdr:nvSpPr>
        <xdr:spPr>
          <a:xfrm>
            <a:off x="2400300" y="-1047538769"/>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33" name="Shape 1507533">
            <a:extLst>
              <a:ext uri="{FF2B5EF4-FFF2-40B4-BE49-F238E27FC236}">
                <a16:creationId xmlns:a16="http://schemas.microsoft.com/office/drawing/2014/main" id="{00000000-0008-0000-1000-0000CD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34" name="Shape 1507534">
            <a:extLst>
              <a:ext uri="{FF2B5EF4-FFF2-40B4-BE49-F238E27FC236}">
                <a16:creationId xmlns:a16="http://schemas.microsoft.com/office/drawing/2014/main" id="{00000000-0008-0000-1000-0000CE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35" name="Shape 1507535">
            <a:extLst>
              <a:ext uri="{FF2B5EF4-FFF2-40B4-BE49-F238E27FC236}">
                <a16:creationId xmlns:a16="http://schemas.microsoft.com/office/drawing/2014/main" id="{00000000-0008-0000-1000-0000CF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36" name="Picture 1507536">
            <a:extLst>
              <a:ext uri="{FF2B5EF4-FFF2-40B4-BE49-F238E27FC236}">
                <a16:creationId xmlns:a16="http://schemas.microsoft.com/office/drawing/2014/main" id="{00000000-0008-0000-1000-0000D0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17</xdr:row>
      <xdr:rowOff>0</xdr:rowOff>
    </xdr:from>
    <xdr:ext cx="0" cy="171450"/>
    <xdr:grpSp>
      <xdr:nvGrpSpPr>
        <xdr:cNvPr id="14" name="GroupShape 0">
          <a:extLst>
            <a:ext uri="{FF2B5EF4-FFF2-40B4-BE49-F238E27FC236}">
              <a16:creationId xmlns:a16="http://schemas.microsoft.com/office/drawing/2014/main" id="{00000000-0008-0000-1000-00000E000000}"/>
            </a:ext>
          </a:extLst>
        </xdr:cNvPr>
        <xdr:cNvGrpSpPr/>
      </xdr:nvGrpSpPr>
      <xdr:grpSpPr>
        <a:xfrm>
          <a:off x="3217591" y="7468994"/>
          <a:ext cx="0" cy="171450"/>
          <a:chOff x="146" y="0"/>
          <a:chExt cx="176" cy="70"/>
        </a:xfrm>
      </xdr:grpSpPr>
      <xdr:sp macro="" textlink="">
        <xdr:nvSpPr>
          <xdr:cNvPr id="1507527" name="Shape 1507527">
            <a:extLst>
              <a:ext uri="{FF2B5EF4-FFF2-40B4-BE49-F238E27FC236}">
                <a16:creationId xmlns:a16="http://schemas.microsoft.com/office/drawing/2014/main" id="{00000000-0008-0000-1000-0000C7001700}"/>
              </a:ext>
            </a:extLst>
          </xdr:cNvPr>
          <xdr:cNvSpPr/>
        </xdr:nvSpPr>
        <xdr:spPr>
          <a:xfrm>
            <a:off x="2400300" y="-1545712352"/>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28" name="Shape 1507528">
            <a:extLst>
              <a:ext uri="{FF2B5EF4-FFF2-40B4-BE49-F238E27FC236}">
                <a16:creationId xmlns:a16="http://schemas.microsoft.com/office/drawing/2014/main" id="{00000000-0008-0000-1000-0000C8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29" name="Shape 1507529">
            <a:extLst>
              <a:ext uri="{FF2B5EF4-FFF2-40B4-BE49-F238E27FC236}">
                <a16:creationId xmlns:a16="http://schemas.microsoft.com/office/drawing/2014/main" id="{00000000-0008-0000-1000-0000C9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30" name="Shape 1507530">
            <a:extLst>
              <a:ext uri="{FF2B5EF4-FFF2-40B4-BE49-F238E27FC236}">
                <a16:creationId xmlns:a16="http://schemas.microsoft.com/office/drawing/2014/main" id="{00000000-0008-0000-1000-0000CA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31" name="Picture 1507531">
            <a:extLst>
              <a:ext uri="{FF2B5EF4-FFF2-40B4-BE49-F238E27FC236}">
                <a16:creationId xmlns:a16="http://schemas.microsoft.com/office/drawing/2014/main" id="{00000000-0008-0000-1000-0000CB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17</xdr:row>
      <xdr:rowOff>0</xdr:rowOff>
    </xdr:from>
    <xdr:ext cx="0" cy="171450"/>
    <xdr:grpSp>
      <xdr:nvGrpSpPr>
        <xdr:cNvPr id="15" name="GroupShape 0">
          <a:extLst>
            <a:ext uri="{FF2B5EF4-FFF2-40B4-BE49-F238E27FC236}">
              <a16:creationId xmlns:a16="http://schemas.microsoft.com/office/drawing/2014/main" id="{00000000-0008-0000-1000-00000F000000}"/>
            </a:ext>
          </a:extLst>
        </xdr:cNvPr>
        <xdr:cNvGrpSpPr/>
      </xdr:nvGrpSpPr>
      <xdr:grpSpPr>
        <a:xfrm>
          <a:off x="3217591" y="7468994"/>
          <a:ext cx="0" cy="171450"/>
          <a:chOff x="146" y="0"/>
          <a:chExt cx="176" cy="70"/>
        </a:xfrm>
      </xdr:grpSpPr>
      <xdr:sp macro="" textlink="">
        <xdr:nvSpPr>
          <xdr:cNvPr id="1507522" name="Shape 1507522">
            <a:extLst>
              <a:ext uri="{FF2B5EF4-FFF2-40B4-BE49-F238E27FC236}">
                <a16:creationId xmlns:a16="http://schemas.microsoft.com/office/drawing/2014/main" id="{00000000-0008-0000-1000-0000C2001700}"/>
              </a:ext>
            </a:extLst>
          </xdr:cNvPr>
          <xdr:cNvSpPr/>
        </xdr:nvSpPr>
        <xdr:spPr>
          <a:xfrm>
            <a:off x="2400300" y="-1545712352"/>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23" name="Shape 1507523">
            <a:extLst>
              <a:ext uri="{FF2B5EF4-FFF2-40B4-BE49-F238E27FC236}">
                <a16:creationId xmlns:a16="http://schemas.microsoft.com/office/drawing/2014/main" id="{00000000-0008-0000-1000-0000C3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24" name="Shape 1507524">
            <a:extLst>
              <a:ext uri="{FF2B5EF4-FFF2-40B4-BE49-F238E27FC236}">
                <a16:creationId xmlns:a16="http://schemas.microsoft.com/office/drawing/2014/main" id="{00000000-0008-0000-1000-0000C4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25" name="Shape 1507525">
            <a:extLst>
              <a:ext uri="{FF2B5EF4-FFF2-40B4-BE49-F238E27FC236}">
                <a16:creationId xmlns:a16="http://schemas.microsoft.com/office/drawing/2014/main" id="{00000000-0008-0000-1000-0000C5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26" name="Picture 1507526">
            <a:extLst>
              <a:ext uri="{FF2B5EF4-FFF2-40B4-BE49-F238E27FC236}">
                <a16:creationId xmlns:a16="http://schemas.microsoft.com/office/drawing/2014/main" id="{00000000-0008-0000-1000-0000C6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17</xdr:row>
      <xdr:rowOff>0</xdr:rowOff>
    </xdr:from>
    <xdr:ext cx="0" cy="361950"/>
    <xdr:grpSp>
      <xdr:nvGrpSpPr>
        <xdr:cNvPr id="16" name="GroupShape 0">
          <a:extLst>
            <a:ext uri="{FF2B5EF4-FFF2-40B4-BE49-F238E27FC236}">
              <a16:creationId xmlns:a16="http://schemas.microsoft.com/office/drawing/2014/main" id="{00000000-0008-0000-1000-000010000000}"/>
            </a:ext>
          </a:extLst>
        </xdr:cNvPr>
        <xdr:cNvGrpSpPr/>
      </xdr:nvGrpSpPr>
      <xdr:grpSpPr>
        <a:xfrm>
          <a:off x="3217591" y="7468994"/>
          <a:ext cx="0" cy="361950"/>
          <a:chOff x="146" y="0"/>
          <a:chExt cx="176" cy="70"/>
        </a:xfrm>
      </xdr:grpSpPr>
      <xdr:sp macro="" textlink="">
        <xdr:nvSpPr>
          <xdr:cNvPr id="1507517" name="Shape 1507517">
            <a:extLst>
              <a:ext uri="{FF2B5EF4-FFF2-40B4-BE49-F238E27FC236}">
                <a16:creationId xmlns:a16="http://schemas.microsoft.com/office/drawing/2014/main" id="{00000000-0008-0000-1000-0000BD001700}"/>
              </a:ext>
            </a:extLst>
          </xdr:cNvPr>
          <xdr:cNvSpPr/>
        </xdr:nvSpPr>
        <xdr:spPr>
          <a:xfrm>
            <a:off x="2400300" y="-1028445703"/>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18" name="Shape 1507518">
            <a:extLst>
              <a:ext uri="{FF2B5EF4-FFF2-40B4-BE49-F238E27FC236}">
                <a16:creationId xmlns:a16="http://schemas.microsoft.com/office/drawing/2014/main" id="{00000000-0008-0000-1000-0000BE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19" name="Shape 1507519">
            <a:extLst>
              <a:ext uri="{FF2B5EF4-FFF2-40B4-BE49-F238E27FC236}">
                <a16:creationId xmlns:a16="http://schemas.microsoft.com/office/drawing/2014/main" id="{00000000-0008-0000-1000-0000BF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20" name="Shape 1507520">
            <a:extLst>
              <a:ext uri="{FF2B5EF4-FFF2-40B4-BE49-F238E27FC236}">
                <a16:creationId xmlns:a16="http://schemas.microsoft.com/office/drawing/2014/main" id="{00000000-0008-0000-1000-0000C0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21" name="Picture 1507521">
            <a:extLst>
              <a:ext uri="{FF2B5EF4-FFF2-40B4-BE49-F238E27FC236}">
                <a16:creationId xmlns:a16="http://schemas.microsoft.com/office/drawing/2014/main" id="{00000000-0008-0000-1000-0000C1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17</xdr:row>
      <xdr:rowOff>0</xdr:rowOff>
    </xdr:from>
    <xdr:ext cx="0" cy="361950"/>
    <xdr:grpSp>
      <xdr:nvGrpSpPr>
        <xdr:cNvPr id="17" name="GroupShape 0">
          <a:extLst>
            <a:ext uri="{FF2B5EF4-FFF2-40B4-BE49-F238E27FC236}">
              <a16:creationId xmlns:a16="http://schemas.microsoft.com/office/drawing/2014/main" id="{00000000-0008-0000-1000-000011000000}"/>
            </a:ext>
          </a:extLst>
        </xdr:cNvPr>
        <xdr:cNvGrpSpPr/>
      </xdr:nvGrpSpPr>
      <xdr:grpSpPr>
        <a:xfrm>
          <a:off x="3217591" y="7468994"/>
          <a:ext cx="0" cy="361950"/>
          <a:chOff x="146" y="0"/>
          <a:chExt cx="176" cy="70"/>
        </a:xfrm>
      </xdr:grpSpPr>
      <xdr:sp macro="" textlink="">
        <xdr:nvSpPr>
          <xdr:cNvPr id="1507512" name="Shape 1507512">
            <a:extLst>
              <a:ext uri="{FF2B5EF4-FFF2-40B4-BE49-F238E27FC236}">
                <a16:creationId xmlns:a16="http://schemas.microsoft.com/office/drawing/2014/main" id="{00000000-0008-0000-1000-0000B8001700}"/>
              </a:ext>
            </a:extLst>
          </xdr:cNvPr>
          <xdr:cNvSpPr/>
        </xdr:nvSpPr>
        <xdr:spPr>
          <a:xfrm>
            <a:off x="2400300" y="-1028445703"/>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13" name="Shape 1507513">
            <a:extLst>
              <a:ext uri="{FF2B5EF4-FFF2-40B4-BE49-F238E27FC236}">
                <a16:creationId xmlns:a16="http://schemas.microsoft.com/office/drawing/2014/main" id="{00000000-0008-0000-1000-0000B9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14" name="Shape 1507514">
            <a:extLst>
              <a:ext uri="{FF2B5EF4-FFF2-40B4-BE49-F238E27FC236}">
                <a16:creationId xmlns:a16="http://schemas.microsoft.com/office/drawing/2014/main" id="{00000000-0008-0000-1000-0000BA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15" name="Shape 1507515">
            <a:extLst>
              <a:ext uri="{FF2B5EF4-FFF2-40B4-BE49-F238E27FC236}">
                <a16:creationId xmlns:a16="http://schemas.microsoft.com/office/drawing/2014/main" id="{00000000-0008-0000-1000-0000BB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16" name="Picture 1507516">
            <a:extLst>
              <a:ext uri="{FF2B5EF4-FFF2-40B4-BE49-F238E27FC236}">
                <a16:creationId xmlns:a16="http://schemas.microsoft.com/office/drawing/2014/main" id="{00000000-0008-0000-1000-0000BC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17</xdr:row>
      <xdr:rowOff>0</xdr:rowOff>
    </xdr:from>
    <xdr:ext cx="0" cy="361950"/>
    <xdr:grpSp>
      <xdr:nvGrpSpPr>
        <xdr:cNvPr id="18" name="GroupShape 0">
          <a:extLst>
            <a:ext uri="{FF2B5EF4-FFF2-40B4-BE49-F238E27FC236}">
              <a16:creationId xmlns:a16="http://schemas.microsoft.com/office/drawing/2014/main" id="{00000000-0008-0000-1000-000012000000}"/>
            </a:ext>
          </a:extLst>
        </xdr:cNvPr>
        <xdr:cNvGrpSpPr/>
      </xdr:nvGrpSpPr>
      <xdr:grpSpPr>
        <a:xfrm>
          <a:off x="3217591" y="7468994"/>
          <a:ext cx="0" cy="361950"/>
          <a:chOff x="146" y="0"/>
          <a:chExt cx="176" cy="70"/>
        </a:xfrm>
      </xdr:grpSpPr>
      <xdr:sp macro="" textlink="">
        <xdr:nvSpPr>
          <xdr:cNvPr id="1507507" name="Shape 1507507">
            <a:extLst>
              <a:ext uri="{FF2B5EF4-FFF2-40B4-BE49-F238E27FC236}">
                <a16:creationId xmlns:a16="http://schemas.microsoft.com/office/drawing/2014/main" id="{00000000-0008-0000-1000-0000B3001700}"/>
              </a:ext>
            </a:extLst>
          </xdr:cNvPr>
          <xdr:cNvSpPr/>
        </xdr:nvSpPr>
        <xdr:spPr>
          <a:xfrm>
            <a:off x="2400300" y="-516911122"/>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08" name="Shape 1507508">
            <a:extLst>
              <a:ext uri="{FF2B5EF4-FFF2-40B4-BE49-F238E27FC236}">
                <a16:creationId xmlns:a16="http://schemas.microsoft.com/office/drawing/2014/main" id="{00000000-0008-0000-1000-0000B4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09" name="Shape 1507509">
            <a:extLst>
              <a:ext uri="{FF2B5EF4-FFF2-40B4-BE49-F238E27FC236}">
                <a16:creationId xmlns:a16="http://schemas.microsoft.com/office/drawing/2014/main" id="{00000000-0008-0000-1000-0000B5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10" name="Shape 1507510">
            <a:extLst>
              <a:ext uri="{FF2B5EF4-FFF2-40B4-BE49-F238E27FC236}">
                <a16:creationId xmlns:a16="http://schemas.microsoft.com/office/drawing/2014/main" id="{00000000-0008-0000-1000-0000B6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11" name="Picture 1507511">
            <a:extLst>
              <a:ext uri="{FF2B5EF4-FFF2-40B4-BE49-F238E27FC236}">
                <a16:creationId xmlns:a16="http://schemas.microsoft.com/office/drawing/2014/main" id="{00000000-0008-0000-1000-0000B7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oneCellAnchor>
    <xdr:from>
      <xdr:col>3</xdr:col>
      <xdr:colOff>0</xdr:colOff>
      <xdr:row>17</xdr:row>
      <xdr:rowOff>0</xdr:rowOff>
    </xdr:from>
    <xdr:ext cx="0" cy="361950"/>
    <xdr:grpSp>
      <xdr:nvGrpSpPr>
        <xdr:cNvPr id="19" name="GroupShape 0">
          <a:extLst>
            <a:ext uri="{FF2B5EF4-FFF2-40B4-BE49-F238E27FC236}">
              <a16:creationId xmlns:a16="http://schemas.microsoft.com/office/drawing/2014/main" id="{00000000-0008-0000-1000-000013000000}"/>
            </a:ext>
          </a:extLst>
        </xdr:cNvPr>
        <xdr:cNvGrpSpPr/>
      </xdr:nvGrpSpPr>
      <xdr:grpSpPr>
        <a:xfrm>
          <a:off x="3217591" y="7468994"/>
          <a:ext cx="0" cy="361950"/>
          <a:chOff x="146" y="0"/>
          <a:chExt cx="176" cy="70"/>
        </a:xfrm>
      </xdr:grpSpPr>
      <xdr:sp macro="" textlink="">
        <xdr:nvSpPr>
          <xdr:cNvPr id="1507502" name="Shape 1507502">
            <a:extLst>
              <a:ext uri="{FF2B5EF4-FFF2-40B4-BE49-F238E27FC236}">
                <a16:creationId xmlns:a16="http://schemas.microsoft.com/office/drawing/2014/main" id="{00000000-0008-0000-1000-0000AE001700}"/>
              </a:ext>
            </a:extLst>
          </xdr:cNvPr>
          <xdr:cNvSpPr/>
        </xdr:nvSpPr>
        <xdr:spPr>
          <a:xfrm>
            <a:off x="2400300" y="-516911122"/>
            <a:ext cx="0" cy="0"/>
          </a:xfrm>
          <a:prstGeom prst="rect">
            <a:avLst/>
          </a:prstGeom>
          <a:solidFill>
            <a:srgbClr val="4D4D4D"/>
          </a:solidFill>
          <a:ln cap="flat" cmpd="sng" algn="ctr">
            <a:noFill/>
            <a:miter lim="800000"/>
            <a:headEnd/>
            <a:tailEnd/>
          </a:ln>
        </xdr:spPr>
        <xdr:txBody>
          <a:bodyPr fromWordArt="1"/>
          <a:lstStyle/>
          <a:p>
            <a:r>
              <a:rPr b="0" i="0" u="none" cap="none">
                <a:latin typeface="Arial"/>
              </a:rPr>
              <a:t>Consórcio
</a:t>
            </a:r>
          </a:p>
        </xdr:txBody>
      </xdr:sp>
      <xdr:sp macro="" textlink="">
        <xdr:nvSpPr>
          <xdr:cNvPr id="1507503" name="Shape 1507503">
            <a:extLst>
              <a:ext uri="{FF2B5EF4-FFF2-40B4-BE49-F238E27FC236}">
                <a16:creationId xmlns:a16="http://schemas.microsoft.com/office/drawing/2014/main" id="{00000000-0008-0000-1000-0000AF001700}"/>
              </a:ext>
            </a:extLst>
          </xdr:cNvPr>
          <xdr:cNvSpPr/>
        </xdr:nvSpPr>
        <xdr:spPr>
          <a:xfrm rot="21600000" flipV="1">
            <a:off x="147" y="19"/>
            <a:ext cx="164" cy="0"/>
          </a:xfrm>
          <a:prstGeom prst="line">
            <a:avLst/>
          </a:prstGeom>
          <a:noFill/>
          <a:ln cap="flat" cmpd="sng" algn="ctr">
            <a:solidFill>
              <a:srgbClr val="000000"/>
            </a:solidFill>
            <a:miter lim="800000"/>
            <a:headEnd/>
            <a:tailEnd/>
          </a:ln>
        </xdr:spPr>
      </xdr:sp>
      <xdr:sp macro="" textlink="">
        <xdr:nvSpPr>
          <xdr:cNvPr id="1507504" name="Shape 1507504">
            <a:extLst>
              <a:ext uri="{FF2B5EF4-FFF2-40B4-BE49-F238E27FC236}">
                <a16:creationId xmlns:a16="http://schemas.microsoft.com/office/drawing/2014/main" id="{00000000-0008-0000-1000-0000B0001700}"/>
              </a:ext>
            </a:extLst>
          </xdr:cNvPr>
          <xdr:cNvSpPr/>
        </xdr:nvSpPr>
        <xdr:spPr>
          <a:xfrm rot="21600000" flipV="1">
            <a:off x="146" y="0"/>
            <a:ext cx="164" cy="0"/>
          </a:xfrm>
          <a:prstGeom prst="line">
            <a:avLst/>
          </a:prstGeom>
          <a:noFill/>
          <a:ln cap="flat" cmpd="sng" algn="ctr">
            <a:solidFill>
              <a:srgbClr val="000000"/>
            </a:solidFill>
            <a:miter lim="800000"/>
            <a:headEnd/>
            <a:tailEnd/>
          </a:ln>
        </xdr:spPr>
      </xdr:sp>
      <xdr:sp macro="" textlink="">
        <xdr:nvSpPr>
          <xdr:cNvPr id="1507505" name="Shape 1507505">
            <a:extLst>
              <a:ext uri="{FF2B5EF4-FFF2-40B4-BE49-F238E27FC236}">
                <a16:creationId xmlns:a16="http://schemas.microsoft.com/office/drawing/2014/main" id="{00000000-0008-0000-1000-0000B1001700}"/>
              </a:ext>
            </a:extLst>
          </xdr:cNvPr>
          <xdr:cNvSpPr/>
        </xdr:nvSpPr>
        <xdr:spPr>
          <a:xfrm rot="21600000" flipV="1">
            <a:off x="147" y="70"/>
            <a:ext cx="164" cy="0"/>
          </a:xfrm>
          <a:prstGeom prst="line">
            <a:avLst/>
          </a:prstGeom>
          <a:noFill/>
          <a:ln cap="flat" cmpd="sng" algn="ctr">
            <a:solidFill>
              <a:srgbClr val="000000"/>
            </a:solidFill>
            <a:miter lim="800000"/>
            <a:headEnd/>
            <a:tailEnd/>
          </a:ln>
        </xdr:spPr>
      </xdr:sp>
      <xdr:pic>
        <xdr:nvPicPr>
          <xdr:cNvPr id="1507506" name="Picture 1507506">
            <a:extLst>
              <a:ext uri="{FF2B5EF4-FFF2-40B4-BE49-F238E27FC236}">
                <a16:creationId xmlns:a16="http://schemas.microsoft.com/office/drawing/2014/main" id="{00000000-0008-0000-1000-0000B2001700}"/>
              </a:ext>
            </a:extLst>
          </xdr:cNvPr>
          <xdr:cNvPicPr/>
        </xdr:nvPicPr>
        <xdr:blipFill>
          <a:blip xmlns:r="http://schemas.openxmlformats.org/officeDocument/2006/relationships" r:embed="rId1" cstate="print"/>
          <a:srcRect/>
          <a:stretch>
            <a:fillRect/>
          </a:stretch>
        </xdr:blipFill>
        <xdr:spPr>
          <a:xfrm>
            <a:off x="148" y="22"/>
            <a:ext cx="65" cy="46"/>
          </a:xfrm>
          <a:prstGeom prst="rect">
            <a:avLst/>
          </a:prstGeom>
          <a:ln cap="flat" cmpd="sng" algn="ctr">
            <a:noFill/>
            <a:miter lim="800000"/>
            <a:headEnd/>
            <a:tailEnd/>
          </a:ln>
        </xdr:spPr>
      </xdr:pic>
    </xdr:grpSp>
    <xdr:clientData fLocksWithSheet="0"/>
  </xdr:oneCellAnchor>
  <xdr:twoCellAnchor editAs="oneCell">
    <xdr:from>
      <xdr:col>1</xdr:col>
      <xdr:colOff>789709</xdr:colOff>
      <xdr:row>0</xdr:row>
      <xdr:rowOff>152400</xdr:rowOff>
    </xdr:from>
    <xdr:to>
      <xdr:col>1</xdr:col>
      <xdr:colOff>1591527</xdr:colOff>
      <xdr:row>0</xdr:row>
      <xdr:rowOff>1036537</xdr:rowOff>
    </xdr:to>
    <xdr:pic>
      <xdr:nvPicPr>
        <xdr:cNvPr id="112" name="Imagem 111">
          <a:extLst>
            <a:ext uri="{FF2B5EF4-FFF2-40B4-BE49-F238E27FC236}">
              <a16:creationId xmlns:a16="http://schemas.microsoft.com/office/drawing/2014/main" id="{4FE3950C-9E27-4D52-83F8-56E757BC0C2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40873" y="152400"/>
          <a:ext cx="801818" cy="884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4"/>
  <sheetViews>
    <sheetView tabSelected="1" view="pageBreakPreview" zoomScale="85" zoomScaleNormal="85" zoomScaleSheetLayoutView="85" workbookViewId="0">
      <selection activeCell="A22" sqref="A22:B22"/>
    </sheetView>
  </sheetViews>
  <sheetFormatPr defaultColWidth="12.5703125" defaultRowHeight="15" customHeight="1" x14ac:dyDescent="0.2"/>
  <cols>
    <col min="1" max="1" width="11.7109375" customWidth="1"/>
    <col min="2" max="2" width="61.85546875" customWidth="1"/>
    <col min="3" max="3" width="17.140625" customWidth="1"/>
    <col min="4" max="4" width="9.42578125" customWidth="1"/>
    <col min="5" max="5" width="13.7109375" customWidth="1"/>
    <col min="6" max="6" width="20.28515625" customWidth="1"/>
    <col min="7" max="7" width="5.85546875" customWidth="1"/>
    <col min="8" max="8" width="21.7109375" customWidth="1"/>
    <col min="9" max="9" width="20.85546875" customWidth="1"/>
    <col min="10" max="10" width="20.140625" customWidth="1"/>
    <col min="11" max="11" width="14.7109375" customWidth="1"/>
    <col min="12" max="13" width="14.140625" customWidth="1"/>
  </cols>
  <sheetData>
    <row r="1" spans="1:13" ht="14.25" customHeight="1" x14ac:dyDescent="0.2">
      <c r="A1" s="1" t="s">
        <v>0</v>
      </c>
      <c r="B1" s="331" t="s">
        <v>1</v>
      </c>
      <c r="C1" s="312"/>
      <c r="D1" s="313"/>
      <c r="E1" s="322" t="s">
        <v>2</v>
      </c>
      <c r="F1" s="323"/>
      <c r="G1" s="2"/>
      <c r="H1" s="2"/>
      <c r="I1" s="3"/>
      <c r="J1" s="4"/>
      <c r="K1" s="4"/>
      <c r="L1" s="4"/>
      <c r="M1" s="4"/>
    </row>
    <row r="2" spans="1:13" ht="14.25" customHeight="1" x14ac:dyDescent="0.2">
      <c r="A2" s="1" t="s">
        <v>3</v>
      </c>
      <c r="B2" s="331" t="s">
        <v>4</v>
      </c>
      <c r="C2" s="312"/>
      <c r="D2" s="313"/>
      <c r="E2" s="324"/>
      <c r="F2" s="325"/>
      <c r="G2" s="5"/>
      <c r="H2" s="5"/>
      <c r="I2" s="6"/>
      <c r="J2" s="4"/>
      <c r="K2" s="4"/>
      <c r="L2" s="4"/>
      <c r="M2" s="4"/>
    </row>
    <row r="3" spans="1:13" ht="14.25" customHeight="1" x14ac:dyDescent="0.2">
      <c r="A3" s="1" t="s">
        <v>5</v>
      </c>
      <c r="B3" s="328" t="s">
        <v>6</v>
      </c>
      <c r="C3" s="312"/>
      <c r="D3" s="313"/>
      <c r="E3" s="324"/>
      <c r="F3" s="325"/>
      <c r="G3" s="5"/>
      <c r="H3" s="5"/>
      <c r="I3" s="6"/>
      <c r="J3" s="4"/>
      <c r="K3" s="4"/>
      <c r="L3" s="4"/>
      <c r="M3" s="4"/>
    </row>
    <row r="4" spans="1:13" ht="29.25" customHeight="1" x14ac:dyDescent="0.2">
      <c r="A4" s="7" t="s">
        <v>7</v>
      </c>
      <c r="B4" s="321"/>
      <c r="C4" s="312"/>
      <c r="D4" s="313"/>
      <c r="E4" s="326"/>
      <c r="F4" s="327"/>
      <c r="G4" s="8"/>
      <c r="H4" s="8"/>
      <c r="I4" s="9"/>
      <c r="J4" s="4"/>
      <c r="K4" s="4"/>
      <c r="L4" s="4"/>
      <c r="M4" s="4"/>
    </row>
    <row r="5" spans="1:13" ht="15.75" customHeight="1" x14ac:dyDescent="0.2">
      <c r="A5" s="329" t="s">
        <v>8</v>
      </c>
      <c r="B5" s="312"/>
      <c r="C5" s="312"/>
      <c r="D5" s="312"/>
      <c r="E5" s="312"/>
      <c r="F5" s="313"/>
      <c r="G5" s="10"/>
      <c r="H5" s="11"/>
      <c r="I5" s="4"/>
      <c r="J5" s="4"/>
      <c r="K5" s="4"/>
      <c r="L5" s="4"/>
      <c r="M5" s="4"/>
    </row>
    <row r="6" spans="1:13" x14ac:dyDescent="0.2">
      <c r="A6" s="330" t="s">
        <v>756</v>
      </c>
      <c r="B6" s="323"/>
      <c r="C6" s="332" t="s">
        <v>9</v>
      </c>
      <c r="D6" s="312"/>
      <c r="E6" s="313"/>
      <c r="F6" s="173" t="s">
        <v>688</v>
      </c>
      <c r="G6" s="12"/>
      <c r="H6" s="11"/>
      <c r="I6" s="4"/>
      <c r="J6" s="4"/>
      <c r="K6" s="4"/>
      <c r="L6" s="4"/>
      <c r="M6" s="4"/>
    </row>
    <row r="7" spans="1:13" ht="14.25" customHeight="1" x14ac:dyDescent="0.2">
      <c r="A7" s="324"/>
      <c r="B7" s="325"/>
      <c r="C7" s="332" t="s">
        <v>10</v>
      </c>
      <c r="D7" s="312"/>
      <c r="E7" s="313"/>
      <c r="F7" s="13">
        <f>BDI!C20</f>
        <v>0.30049999999999999</v>
      </c>
      <c r="G7" s="14"/>
      <c r="H7" s="11"/>
      <c r="I7" s="4"/>
      <c r="J7" s="4"/>
      <c r="K7" s="4"/>
      <c r="L7" s="4"/>
      <c r="M7" s="4"/>
    </row>
    <row r="8" spans="1:13" ht="15.75" customHeight="1" x14ac:dyDescent="0.2">
      <c r="A8" s="326"/>
      <c r="B8" s="327"/>
      <c r="C8" s="314" t="s">
        <v>11</v>
      </c>
      <c r="D8" s="312"/>
      <c r="E8" s="313"/>
      <c r="F8" s="13">
        <f>BDI!G20</f>
        <v>0.19900000000000001</v>
      </c>
      <c r="G8" s="14"/>
      <c r="H8" s="11"/>
      <c r="I8" s="4"/>
      <c r="J8" s="4"/>
      <c r="K8" s="4"/>
      <c r="L8" s="4"/>
      <c r="M8" s="4"/>
    </row>
    <row r="9" spans="1:13" ht="28.5" customHeight="1" x14ac:dyDescent="0.2">
      <c r="A9" s="15" t="s">
        <v>12</v>
      </c>
      <c r="B9" s="15" t="s">
        <v>13</v>
      </c>
      <c r="C9" s="333" t="s">
        <v>14</v>
      </c>
      <c r="D9" s="312"/>
      <c r="E9" s="312"/>
      <c r="F9" s="313"/>
      <c r="G9" s="4"/>
      <c r="H9" s="16"/>
      <c r="I9" s="17"/>
      <c r="J9" s="4"/>
      <c r="K9" s="4"/>
      <c r="L9" s="4"/>
      <c r="M9" s="4"/>
    </row>
    <row r="10" spans="1:13" ht="21.75" customHeight="1" x14ac:dyDescent="0.2">
      <c r="A10" s="18">
        <v>1</v>
      </c>
      <c r="B10" s="19" t="s">
        <v>687</v>
      </c>
      <c r="C10" s="311">
        <f>' 1-CANTEIRO'!J10</f>
        <v>359918.83</v>
      </c>
      <c r="D10" s="312"/>
      <c r="E10" s="312"/>
      <c r="F10" s="313"/>
      <c r="G10" s="4"/>
      <c r="H10" s="20">
        <f>C10/$C$17</f>
        <v>6.9532644735229285E-2</v>
      </c>
      <c r="I10" s="21"/>
      <c r="J10" s="4"/>
      <c r="K10" s="22"/>
      <c r="L10" s="4"/>
      <c r="M10" s="4"/>
    </row>
    <row r="11" spans="1:13" ht="21.75" customHeight="1" x14ac:dyDescent="0.2">
      <c r="A11" s="18">
        <v>2</v>
      </c>
      <c r="B11" s="19" t="s">
        <v>15</v>
      </c>
      <c r="C11" s="311">
        <f>'2-ADMINISTRAÇÃO'!J10</f>
        <v>559129.76</v>
      </c>
      <c r="D11" s="312"/>
      <c r="E11" s="312"/>
      <c r="F11" s="313"/>
      <c r="G11" s="4"/>
      <c r="H11" s="20">
        <f>C11/$C$17</f>
        <v>0.10801816332580881</v>
      </c>
      <c r="I11" s="21"/>
      <c r="J11" s="4"/>
      <c r="K11" s="22"/>
      <c r="L11" s="4"/>
      <c r="M11" s="4"/>
    </row>
    <row r="12" spans="1:13" ht="21.75" customHeight="1" x14ac:dyDescent="0.25">
      <c r="A12" s="18">
        <v>3</v>
      </c>
      <c r="B12" s="19" t="s">
        <v>16</v>
      </c>
      <c r="C12" s="311">
        <f>'3-CAPTAÇÃO (2)'!J10</f>
        <v>685204.36</v>
      </c>
      <c r="D12" s="312"/>
      <c r="E12" s="312"/>
      <c r="F12" s="313"/>
      <c r="G12" s="23"/>
      <c r="H12" s="20">
        <f>C12/$C$17</f>
        <v>0.13237448936725582</v>
      </c>
      <c r="I12" s="21"/>
      <c r="J12" s="4"/>
      <c r="K12" s="22"/>
      <c r="L12" s="24"/>
      <c r="M12" s="24"/>
    </row>
    <row r="13" spans="1:13" ht="21.75" customHeight="1" x14ac:dyDescent="0.25">
      <c r="A13" s="18">
        <v>4</v>
      </c>
      <c r="B13" s="19" t="s">
        <v>17</v>
      </c>
      <c r="C13" s="311">
        <f>'4-ADUTORAS '!J10</f>
        <v>81093.150000000023</v>
      </c>
      <c r="D13" s="312"/>
      <c r="E13" s="312"/>
      <c r="F13" s="313"/>
      <c r="G13" s="23"/>
      <c r="H13" s="20">
        <f>C13/$C$17</f>
        <v>1.5666368968277264E-2</v>
      </c>
      <c r="I13" s="21"/>
      <c r="J13" s="25"/>
      <c r="K13" s="22"/>
      <c r="L13" s="24"/>
      <c r="M13" s="24"/>
    </row>
    <row r="14" spans="1:13" ht="21.75" customHeight="1" x14ac:dyDescent="0.25">
      <c r="A14" s="18">
        <v>5</v>
      </c>
      <c r="B14" s="19" t="s">
        <v>18</v>
      </c>
      <c r="C14" s="311">
        <f>'5-ETA '!J10</f>
        <v>1944715.2199999997</v>
      </c>
      <c r="D14" s="312"/>
      <c r="E14" s="312"/>
      <c r="F14" s="313"/>
      <c r="G14" s="23"/>
      <c r="H14" s="20">
        <f>C14/$C$17</f>
        <v>0.37569913333918442</v>
      </c>
      <c r="I14" s="21"/>
      <c r="J14" s="4"/>
      <c r="K14" s="22"/>
      <c r="L14" s="4"/>
      <c r="M14" s="24"/>
    </row>
    <row r="15" spans="1:13" ht="21.75" customHeight="1" x14ac:dyDescent="0.25">
      <c r="A15" s="18">
        <v>7</v>
      </c>
      <c r="B15" s="19" t="s">
        <v>695</v>
      </c>
      <c r="C15" s="311">
        <f>'7-RESERVATÓRIO APOIADO'!J10</f>
        <v>947688.54000000062</v>
      </c>
      <c r="D15" s="312"/>
      <c r="E15" s="312"/>
      <c r="F15" s="313"/>
      <c r="G15" s="23"/>
      <c r="H15" s="20">
        <f>C15/$C$17</f>
        <v>0.18308375411052591</v>
      </c>
      <c r="I15" s="21"/>
      <c r="J15" s="4"/>
      <c r="K15" s="22"/>
      <c r="L15" s="4"/>
      <c r="M15" s="24"/>
    </row>
    <row r="16" spans="1:13" ht="21.75" customHeight="1" x14ac:dyDescent="0.2">
      <c r="A16" s="18">
        <v>9</v>
      </c>
      <c r="B16" s="19" t="s">
        <v>696</v>
      </c>
      <c r="C16" s="311">
        <f>'9-REL ELEVADO 227 M³'!J10</f>
        <v>598507.01000000036</v>
      </c>
      <c r="D16" s="312"/>
      <c r="E16" s="312"/>
      <c r="F16" s="313"/>
      <c r="G16" s="26"/>
      <c r="H16" s="20">
        <f>C16/$C$17</f>
        <v>0.11562544615371846</v>
      </c>
      <c r="I16" s="21"/>
      <c r="J16" s="4"/>
      <c r="K16" s="22"/>
      <c r="L16" s="4"/>
      <c r="M16" s="24"/>
    </row>
    <row r="17" spans="1:13" ht="15.75" customHeight="1" x14ac:dyDescent="0.2">
      <c r="A17" s="336" t="s">
        <v>19</v>
      </c>
      <c r="B17" s="313"/>
      <c r="C17" s="320">
        <f>SUM(C10:F16)</f>
        <v>5176256.870000001</v>
      </c>
      <c r="D17" s="312"/>
      <c r="E17" s="312"/>
      <c r="F17" s="313"/>
      <c r="G17" s="27"/>
      <c r="H17" s="28"/>
      <c r="I17" s="4"/>
      <c r="J17" s="4"/>
      <c r="K17" s="22"/>
      <c r="L17" s="4"/>
      <c r="M17" s="4"/>
    </row>
    <row r="18" spans="1:13" ht="15.75" customHeight="1" x14ac:dyDescent="0.2">
      <c r="A18" s="17"/>
      <c r="B18" s="29"/>
      <c r="C18" s="17"/>
      <c r="D18" s="30"/>
      <c r="E18" s="31"/>
      <c r="F18" s="4"/>
      <c r="G18" s="22"/>
      <c r="H18" s="32"/>
      <c r="I18" s="4"/>
      <c r="J18" s="4"/>
      <c r="K18" s="22"/>
      <c r="L18" s="4"/>
      <c r="M18" s="4"/>
    </row>
    <row r="19" spans="1:13" ht="15.75" customHeight="1" x14ac:dyDescent="0.2">
      <c r="A19" s="17"/>
      <c r="B19" s="29"/>
      <c r="C19" s="17"/>
      <c r="D19" s="30"/>
      <c r="E19" s="31"/>
      <c r="F19" s="33"/>
      <c r="G19" s="22"/>
      <c r="H19" s="32"/>
      <c r="I19" s="4"/>
      <c r="J19" s="4"/>
      <c r="K19" s="4"/>
      <c r="L19" s="4"/>
      <c r="M19" s="4"/>
    </row>
    <row r="20" spans="1:13" ht="15.75" customHeight="1" x14ac:dyDescent="0.2">
      <c r="A20" s="17" t="s">
        <v>20</v>
      </c>
      <c r="B20" s="29"/>
      <c r="C20" s="34"/>
      <c r="D20" s="30"/>
      <c r="E20" s="31"/>
      <c r="F20" s="33"/>
      <c r="G20" s="22"/>
      <c r="H20" s="32"/>
      <c r="I20" s="4"/>
      <c r="J20" s="4"/>
      <c r="K20" s="22"/>
      <c r="L20" s="4"/>
      <c r="M20" s="4"/>
    </row>
    <row r="21" spans="1:13" ht="15.75" customHeight="1" x14ac:dyDescent="0.25">
      <c r="A21" s="335" t="s">
        <v>1152</v>
      </c>
      <c r="B21" s="316"/>
      <c r="C21" s="34"/>
      <c r="D21" s="35" t="s">
        <v>21</v>
      </c>
      <c r="E21" s="35"/>
      <c r="F21" s="36"/>
      <c r="G21" s="4"/>
      <c r="H21" s="32"/>
      <c r="I21" s="4"/>
      <c r="J21" s="4"/>
      <c r="K21" s="4"/>
      <c r="L21" s="4"/>
      <c r="M21" s="4"/>
    </row>
    <row r="22" spans="1:13" ht="15.75" customHeight="1" x14ac:dyDescent="0.25">
      <c r="A22" s="334" t="s">
        <v>22</v>
      </c>
      <c r="B22" s="316"/>
      <c r="C22" s="17"/>
      <c r="D22" s="317" t="s">
        <v>1153</v>
      </c>
      <c r="E22" s="318"/>
      <c r="F22" s="319"/>
      <c r="G22" s="4"/>
      <c r="H22" s="32"/>
      <c r="I22" s="4"/>
      <c r="J22" s="4"/>
      <c r="K22" s="4"/>
      <c r="L22" s="4"/>
      <c r="M22" s="4"/>
    </row>
    <row r="23" spans="1:13" ht="15.75" customHeight="1" x14ac:dyDescent="0.2">
      <c r="A23" s="337" t="s">
        <v>23</v>
      </c>
      <c r="B23" s="316"/>
      <c r="C23" s="17"/>
      <c r="D23" s="30"/>
      <c r="E23" s="31"/>
      <c r="F23" s="37"/>
      <c r="G23" s="4"/>
      <c r="H23" s="32"/>
      <c r="I23" s="4"/>
      <c r="J23" s="4"/>
      <c r="K23" s="4"/>
      <c r="L23" s="4"/>
      <c r="M23" s="4"/>
    </row>
    <row r="24" spans="1:13" ht="15.75" customHeight="1" x14ac:dyDescent="0.2">
      <c r="A24" s="316"/>
      <c r="B24" s="316"/>
      <c r="C24" s="17"/>
      <c r="D24" s="30"/>
      <c r="E24" s="31"/>
      <c r="F24" s="4"/>
      <c r="G24" s="26"/>
      <c r="H24" s="32"/>
      <c r="I24" s="4"/>
      <c r="J24" s="4"/>
      <c r="K24" s="4"/>
      <c r="L24" s="4"/>
      <c r="M24" s="4"/>
    </row>
    <row r="25" spans="1:13" ht="15.75" customHeight="1" x14ac:dyDescent="0.25">
      <c r="A25" s="335"/>
      <c r="B25" s="316"/>
      <c r="C25" s="17"/>
      <c r="D25" s="30"/>
      <c r="E25" s="38"/>
      <c r="F25" s="22"/>
      <c r="G25" s="4"/>
      <c r="H25" s="32"/>
      <c r="I25" s="4"/>
      <c r="J25" s="4"/>
      <c r="K25" s="4"/>
      <c r="L25" s="4"/>
      <c r="M25" s="4"/>
    </row>
    <row r="26" spans="1:13" ht="15.75" customHeight="1" x14ac:dyDescent="0.2">
      <c r="A26" s="17"/>
      <c r="B26" s="29"/>
      <c r="C26" s="171"/>
      <c r="D26" s="30"/>
      <c r="E26" s="31"/>
      <c r="F26" s="4"/>
      <c r="G26" s="26"/>
      <c r="H26" s="32"/>
      <c r="I26" s="4"/>
      <c r="J26" s="4"/>
      <c r="K26" s="4"/>
      <c r="L26" s="4"/>
      <c r="M26" s="4"/>
    </row>
    <row r="27" spans="1:13" ht="15.75" customHeight="1" x14ac:dyDescent="0.25">
      <c r="A27" s="17"/>
      <c r="B27" s="29"/>
      <c r="C27" s="171"/>
      <c r="D27" s="30"/>
      <c r="E27" s="38"/>
      <c r="F27" s="22"/>
      <c r="G27" s="4"/>
      <c r="H27" s="32"/>
      <c r="I27" s="4"/>
      <c r="J27" s="4"/>
      <c r="K27" s="4"/>
      <c r="L27" s="4"/>
      <c r="M27" s="4"/>
    </row>
    <row r="28" spans="1:13" ht="15.75" customHeight="1" x14ac:dyDescent="0.2">
      <c r="A28" s="17"/>
      <c r="B28" s="29"/>
      <c r="C28" s="17"/>
      <c r="D28" s="30"/>
      <c r="E28" s="31"/>
      <c r="F28" s="4"/>
      <c r="G28" s="4"/>
      <c r="H28" s="32"/>
      <c r="I28" s="4"/>
      <c r="J28" s="4"/>
      <c r="K28" s="4"/>
      <c r="L28" s="4"/>
      <c r="M28" s="4"/>
    </row>
    <row r="29" spans="1:13" ht="15.75" customHeight="1" x14ac:dyDescent="0.2">
      <c r="A29" s="34"/>
      <c r="B29" s="4"/>
      <c r="C29" s="17"/>
      <c r="D29" s="30"/>
      <c r="E29" s="31"/>
      <c r="F29" s="4"/>
      <c r="G29" s="4"/>
      <c r="H29" s="32"/>
      <c r="I29" s="4"/>
      <c r="J29" s="4"/>
      <c r="K29" s="4"/>
      <c r="L29" s="4"/>
      <c r="M29" s="4"/>
    </row>
    <row r="30" spans="1:13" ht="15.75" customHeight="1" x14ac:dyDescent="0.2">
      <c r="A30" s="17"/>
      <c r="B30" s="29"/>
      <c r="C30" s="17"/>
      <c r="D30" s="30"/>
      <c r="E30" s="31"/>
      <c r="F30" s="4"/>
      <c r="G30" s="4"/>
      <c r="H30" s="32"/>
      <c r="I30" s="4"/>
      <c r="J30" s="4"/>
      <c r="K30" s="4"/>
      <c r="L30" s="4"/>
      <c r="M30" s="4"/>
    </row>
    <row r="31" spans="1:13" ht="15.75" customHeight="1" x14ac:dyDescent="0.2">
      <c r="A31" s="17"/>
      <c r="B31" s="29"/>
      <c r="C31" s="17"/>
      <c r="D31" s="30"/>
      <c r="E31" s="31"/>
      <c r="F31" s="4"/>
      <c r="G31" s="4"/>
      <c r="H31" s="32"/>
      <c r="I31" s="4"/>
      <c r="J31" s="4"/>
      <c r="K31" s="4"/>
      <c r="L31" s="4"/>
      <c r="M31" s="4"/>
    </row>
    <row r="32" spans="1:13" ht="15.75" customHeight="1" x14ac:dyDescent="0.2">
      <c r="A32" s="34"/>
      <c r="B32" s="29"/>
      <c r="C32" s="34"/>
      <c r="D32" s="30"/>
      <c r="E32" s="31"/>
      <c r="F32" s="4"/>
      <c r="G32" s="4"/>
      <c r="H32" s="32"/>
      <c r="I32" s="4"/>
      <c r="J32" s="4"/>
      <c r="K32" s="4"/>
      <c r="L32" s="4"/>
      <c r="M32" s="4"/>
    </row>
    <row r="33" spans="1:13" ht="15.75" customHeight="1" x14ac:dyDescent="0.2">
      <c r="A33" s="34"/>
      <c r="B33" s="29"/>
      <c r="C33" s="17"/>
      <c r="D33" s="30"/>
      <c r="E33" s="31"/>
      <c r="F33" s="4"/>
      <c r="G33" s="4"/>
      <c r="H33" s="32"/>
      <c r="I33" s="4"/>
      <c r="J33" s="4"/>
      <c r="K33" s="4"/>
      <c r="L33" s="4"/>
      <c r="M33" s="4"/>
    </row>
    <row r="34" spans="1:13" ht="15.75" customHeight="1" x14ac:dyDescent="0.2">
      <c r="A34" s="17"/>
      <c r="B34" s="29"/>
      <c r="C34" s="17"/>
      <c r="D34" s="30"/>
      <c r="E34" s="31"/>
      <c r="F34" s="4"/>
      <c r="G34" s="4"/>
      <c r="H34" s="32"/>
      <c r="I34" s="4"/>
      <c r="J34" s="4"/>
      <c r="K34" s="4"/>
      <c r="L34" s="4"/>
      <c r="M34" s="4"/>
    </row>
    <row r="35" spans="1:13" ht="15.75" customHeight="1" x14ac:dyDescent="0.2">
      <c r="A35" s="17"/>
      <c r="B35" s="29"/>
      <c r="C35" s="34"/>
      <c r="D35" s="30"/>
      <c r="E35" s="31"/>
      <c r="F35" s="4"/>
      <c r="G35" s="4"/>
      <c r="H35" s="32"/>
      <c r="I35" s="4"/>
      <c r="J35" s="4"/>
      <c r="K35" s="4"/>
      <c r="L35" s="4"/>
      <c r="M35" s="4"/>
    </row>
    <row r="36" spans="1:13" ht="15.75" customHeight="1" x14ac:dyDescent="0.2">
      <c r="A36" s="17"/>
      <c r="B36" s="29"/>
      <c r="C36" s="17"/>
      <c r="D36" s="30"/>
      <c r="E36" s="31"/>
      <c r="F36" s="4"/>
      <c r="G36" s="4"/>
      <c r="H36" s="32"/>
      <c r="I36" s="4"/>
      <c r="J36" s="4"/>
      <c r="K36" s="4"/>
      <c r="L36" s="4"/>
      <c r="M36" s="4"/>
    </row>
    <row r="37" spans="1:13" ht="15.75" customHeight="1" x14ac:dyDescent="0.2">
      <c r="A37" s="17"/>
      <c r="B37" s="29"/>
      <c r="C37" s="17"/>
      <c r="D37" s="30"/>
      <c r="E37" s="31"/>
      <c r="F37" s="4"/>
      <c r="G37" s="4"/>
      <c r="H37" s="32"/>
      <c r="I37" s="4"/>
      <c r="J37" s="4"/>
      <c r="K37" s="4"/>
      <c r="L37" s="4"/>
      <c r="M37" s="4"/>
    </row>
    <row r="38" spans="1:13" ht="15.75" customHeight="1" x14ac:dyDescent="0.2">
      <c r="A38" s="34"/>
      <c r="B38" s="29"/>
      <c r="C38" s="17"/>
      <c r="D38" s="30"/>
      <c r="E38" s="31"/>
      <c r="F38" s="4"/>
      <c r="G38" s="4"/>
      <c r="H38" s="32"/>
      <c r="I38" s="4"/>
      <c r="J38" s="4"/>
      <c r="K38" s="4"/>
      <c r="L38" s="4"/>
      <c r="M38" s="4"/>
    </row>
    <row r="39" spans="1:13" ht="15.75" customHeight="1" x14ac:dyDescent="0.2">
      <c r="A39" s="17"/>
      <c r="B39" s="29"/>
      <c r="C39" s="17"/>
      <c r="D39" s="30"/>
      <c r="E39" s="31"/>
      <c r="F39" s="4"/>
      <c r="G39" s="4"/>
      <c r="H39" s="32"/>
      <c r="I39" s="4"/>
      <c r="J39" s="4"/>
      <c r="K39" s="4"/>
      <c r="L39" s="4"/>
      <c r="M39" s="4"/>
    </row>
    <row r="40" spans="1:13" ht="15.75" customHeight="1" x14ac:dyDescent="0.2">
      <c r="A40" s="34"/>
      <c r="B40" s="29"/>
      <c r="C40" s="17"/>
      <c r="D40" s="30"/>
      <c r="E40" s="31"/>
      <c r="F40" s="4"/>
      <c r="G40" s="4"/>
      <c r="H40" s="32"/>
      <c r="I40" s="4"/>
      <c r="J40" s="4"/>
      <c r="K40" s="4"/>
      <c r="L40" s="4"/>
      <c r="M40" s="4"/>
    </row>
    <row r="41" spans="1:13" ht="15.75" customHeight="1" x14ac:dyDescent="0.2">
      <c r="A41" s="17"/>
      <c r="B41" s="29"/>
      <c r="C41" s="34"/>
      <c r="D41" s="30"/>
      <c r="E41" s="31"/>
      <c r="F41" s="4"/>
      <c r="G41" s="4"/>
      <c r="H41" s="32"/>
      <c r="I41" s="4"/>
      <c r="J41" s="4"/>
      <c r="K41" s="4"/>
      <c r="L41" s="4"/>
      <c r="M41" s="4"/>
    </row>
    <row r="42" spans="1:13" ht="15.75" customHeight="1" x14ac:dyDescent="0.2">
      <c r="A42" s="17"/>
      <c r="B42" s="29"/>
      <c r="C42" s="17"/>
      <c r="D42" s="30"/>
      <c r="E42" s="31"/>
      <c r="F42" s="4"/>
      <c r="G42" s="4"/>
      <c r="H42" s="32"/>
      <c r="I42" s="4"/>
      <c r="J42" s="4"/>
      <c r="K42" s="4"/>
      <c r="L42" s="4"/>
      <c r="M42" s="4"/>
    </row>
    <row r="43" spans="1:13" ht="15.75" customHeight="1" x14ac:dyDescent="0.25">
      <c r="A43" s="34"/>
      <c r="B43" s="29"/>
      <c r="C43" s="17"/>
      <c r="D43" s="315"/>
      <c r="E43" s="316"/>
      <c r="F43" s="4"/>
      <c r="G43" s="4"/>
      <c r="H43" s="32"/>
      <c r="I43" s="4"/>
      <c r="J43" s="4"/>
      <c r="K43" s="4"/>
      <c r="L43" s="4"/>
      <c r="M43" s="4"/>
    </row>
    <row r="44" spans="1:13" ht="15.75" customHeight="1" x14ac:dyDescent="0.2">
      <c r="A44" s="34"/>
      <c r="B44" s="29"/>
      <c r="C44" s="34"/>
      <c r="D44" s="30"/>
      <c r="E44" s="31"/>
      <c r="F44" s="4"/>
      <c r="G44" s="4"/>
      <c r="H44" s="32"/>
      <c r="I44" s="4"/>
      <c r="J44" s="4"/>
      <c r="K44" s="4"/>
      <c r="L44" s="4"/>
      <c r="M44" s="4"/>
    </row>
    <row r="45" spans="1:13" ht="15.75" customHeight="1" x14ac:dyDescent="0.2">
      <c r="A45" s="17"/>
      <c r="B45" s="29"/>
      <c r="C45" s="34"/>
      <c r="D45" s="30"/>
      <c r="E45" s="31"/>
      <c r="F45" s="4"/>
      <c r="G45" s="4"/>
      <c r="H45" s="32"/>
      <c r="I45" s="4"/>
      <c r="J45" s="4"/>
      <c r="K45" s="4"/>
      <c r="L45" s="4"/>
      <c r="M45" s="4"/>
    </row>
    <row r="46" spans="1:13" ht="15.75" customHeight="1" x14ac:dyDescent="0.2">
      <c r="A46" s="34"/>
      <c r="B46" s="29"/>
      <c r="C46" s="17"/>
      <c r="D46" s="30"/>
      <c r="E46" s="31"/>
      <c r="F46" s="4"/>
      <c r="G46" s="4"/>
      <c r="H46" s="32"/>
      <c r="I46" s="4"/>
      <c r="J46" s="4"/>
      <c r="K46" s="4"/>
      <c r="L46" s="4"/>
      <c r="M46" s="4"/>
    </row>
    <row r="47" spans="1:13" ht="15.75" customHeight="1" x14ac:dyDescent="0.2">
      <c r="A47" s="34"/>
      <c r="B47" s="29"/>
      <c r="C47" s="17"/>
      <c r="D47" s="30"/>
      <c r="E47" s="31"/>
      <c r="F47" s="4"/>
      <c r="G47" s="4"/>
      <c r="H47" s="32"/>
      <c r="I47" s="4"/>
      <c r="J47" s="4"/>
      <c r="K47" s="4"/>
      <c r="L47" s="4"/>
      <c r="M47" s="4"/>
    </row>
    <row r="48" spans="1:13" ht="14.25" customHeight="1" x14ac:dyDescent="0.2">
      <c r="A48" s="17"/>
      <c r="B48" s="4"/>
      <c r="C48" s="17"/>
      <c r="D48" s="30"/>
      <c r="E48" s="31"/>
      <c r="F48" s="4"/>
      <c r="G48" s="4"/>
      <c r="H48" s="32"/>
      <c r="I48" s="4"/>
      <c r="J48" s="4"/>
      <c r="K48" s="4"/>
      <c r="L48" s="4"/>
      <c r="M48" s="4"/>
    </row>
    <row r="49" spans="1:13" ht="14.25" customHeight="1" x14ac:dyDescent="0.2">
      <c r="A49" s="17"/>
      <c r="B49" s="4"/>
      <c r="C49" s="17"/>
      <c r="D49" s="30"/>
      <c r="E49" s="31"/>
      <c r="F49" s="4"/>
      <c r="G49" s="4"/>
      <c r="H49" s="32"/>
      <c r="I49" s="4"/>
      <c r="J49" s="4"/>
      <c r="K49" s="4"/>
      <c r="L49" s="4"/>
      <c r="M49" s="4"/>
    </row>
    <row r="50" spans="1:13" ht="14.25" customHeight="1" x14ac:dyDescent="0.2">
      <c r="A50" s="17"/>
      <c r="B50" s="4"/>
      <c r="C50" s="17"/>
      <c r="D50" s="30"/>
      <c r="E50" s="31"/>
      <c r="F50" s="4"/>
      <c r="G50" s="4"/>
      <c r="H50" s="32"/>
      <c r="I50" s="4"/>
      <c r="J50" s="4"/>
      <c r="K50" s="4"/>
      <c r="L50" s="4"/>
      <c r="M50" s="4"/>
    </row>
    <row r="51" spans="1:13" ht="14.25" customHeight="1" x14ac:dyDescent="0.2">
      <c r="A51" s="17"/>
      <c r="B51" s="4"/>
      <c r="C51" s="17"/>
      <c r="D51" s="30"/>
      <c r="E51" s="31"/>
      <c r="F51" s="4"/>
      <c r="G51" s="4"/>
      <c r="H51" s="32"/>
      <c r="I51" s="4"/>
      <c r="J51" s="4"/>
      <c r="K51" s="4"/>
      <c r="L51" s="4"/>
      <c r="M51" s="4"/>
    </row>
    <row r="52" spans="1:13" ht="14.25" customHeight="1" x14ac:dyDescent="0.2">
      <c r="A52" s="17"/>
      <c r="B52" s="4"/>
      <c r="C52" s="17"/>
      <c r="D52" s="30"/>
      <c r="E52" s="31"/>
      <c r="F52" s="4"/>
      <c r="G52" s="4"/>
      <c r="H52" s="32"/>
      <c r="I52" s="4"/>
      <c r="J52" s="4"/>
      <c r="K52" s="4"/>
      <c r="L52" s="4"/>
      <c r="M52" s="4"/>
    </row>
    <row r="53" spans="1:13" ht="14.25" customHeight="1" x14ac:dyDescent="0.2">
      <c r="A53" s="17"/>
      <c r="B53" s="4"/>
      <c r="C53" s="17"/>
      <c r="D53" s="30"/>
      <c r="E53" s="31"/>
      <c r="F53" s="4"/>
      <c r="G53" s="4"/>
      <c r="H53" s="32"/>
      <c r="I53" s="4"/>
      <c r="J53" s="4"/>
      <c r="K53" s="4"/>
      <c r="L53" s="4"/>
      <c r="M53" s="4"/>
    </row>
    <row r="54" spans="1:13" ht="14.25" customHeight="1" x14ac:dyDescent="0.2">
      <c r="A54" s="17"/>
      <c r="B54" s="4"/>
      <c r="C54" s="4"/>
      <c r="D54" s="40"/>
      <c r="E54" s="31"/>
      <c r="F54" s="4"/>
      <c r="G54" s="4"/>
      <c r="H54" s="32"/>
      <c r="I54" s="4"/>
      <c r="J54" s="4"/>
      <c r="K54" s="4"/>
      <c r="L54" s="4"/>
      <c r="M54" s="4"/>
    </row>
    <row r="55" spans="1:13" ht="14.25" customHeight="1" x14ac:dyDescent="0.2">
      <c r="A55" s="17"/>
      <c r="B55" s="4"/>
      <c r="C55" s="17"/>
      <c r="D55" s="30"/>
      <c r="E55" s="31"/>
      <c r="F55" s="4"/>
      <c r="G55" s="4"/>
      <c r="H55" s="32"/>
      <c r="I55" s="4"/>
      <c r="J55" s="4"/>
      <c r="K55" s="4"/>
      <c r="L55" s="4"/>
      <c r="M55" s="4"/>
    </row>
    <row r="56" spans="1:13" ht="14.25" customHeight="1" x14ac:dyDescent="0.25">
      <c r="A56" s="39"/>
      <c r="B56" s="41"/>
      <c r="C56" s="41"/>
      <c r="D56" s="41"/>
      <c r="E56" s="42"/>
      <c r="F56" s="4"/>
      <c r="G56" s="4"/>
      <c r="H56" s="32"/>
      <c r="I56" s="4"/>
      <c r="J56" s="4"/>
      <c r="K56" s="4"/>
      <c r="L56" s="4"/>
      <c r="M56" s="4"/>
    </row>
    <row r="57" spans="1:13" ht="14.25" customHeight="1" x14ac:dyDescent="0.25">
      <c r="A57" s="39"/>
      <c r="B57" s="41"/>
      <c r="C57" s="41"/>
      <c r="D57" s="39"/>
      <c r="E57" s="17"/>
      <c r="F57" s="4"/>
      <c r="G57" s="4"/>
      <c r="H57" s="32"/>
      <c r="I57" s="4"/>
      <c r="J57" s="4"/>
      <c r="K57" s="4"/>
      <c r="L57" s="4"/>
      <c r="M57" s="4"/>
    </row>
    <row r="58" spans="1:13" ht="14.25" customHeight="1" x14ac:dyDescent="0.25">
      <c r="A58" s="39"/>
      <c r="B58" s="41"/>
      <c r="C58" s="41"/>
      <c r="D58" s="41"/>
      <c r="E58" s="42"/>
      <c r="F58" s="4"/>
      <c r="G58" s="4"/>
      <c r="H58" s="32"/>
      <c r="I58" s="4"/>
      <c r="J58" s="4"/>
      <c r="K58" s="4"/>
      <c r="L58" s="4"/>
      <c r="M58" s="4"/>
    </row>
    <row r="59" spans="1:13" ht="14.25" customHeight="1" x14ac:dyDescent="0.25">
      <c r="A59" s="39"/>
      <c r="B59" s="41"/>
      <c r="C59" s="41"/>
      <c r="D59" s="41"/>
      <c r="E59" s="42"/>
      <c r="F59" s="4"/>
      <c r="G59" s="4"/>
      <c r="H59" s="32"/>
      <c r="I59" s="4"/>
      <c r="J59" s="4"/>
      <c r="K59" s="4"/>
      <c r="L59" s="4"/>
      <c r="M59" s="4"/>
    </row>
    <row r="60" spans="1:13" ht="14.25" customHeight="1" x14ac:dyDescent="0.25">
      <c r="A60" s="39"/>
      <c r="B60" s="41"/>
      <c r="C60" s="41"/>
      <c r="D60" s="41"/>
      <c r="E60" s="42"/>
      <c r="F60" s="4"/>
      <c r="G60" s="4"/>
      <c r="H60" s="32"/>
      <c r="I60" s="4"/>
      <c r="J60" s="4"/>
      <c r="K60" s="4"/>
      <c r="L60" s="4"/>
      <c r="M60" s="4"/>
    </row>
    <row r="61" spans="1:13" ht="14.25" customHeight="1" x14ac:dyDescent="0.25">
      <c r="A61" s="43"/>
      <c r="B61" s="44"/>
      <c r="C61" s="39"/>
      <c r="D61" s="39"/>
      <c r="E61" s="42"/>
      <c r="F61" s="4"/>
      <c r="G61" s="4"/>
      <c r="H61" s="32"/>
      <c r="I61" s="4"/>
      <c r="J61" s="4"/>
      <c r="K61" s="4"/>
      <c r="L61" s="4"/>
      <c r="M61" s="4"/>
    </row>
    <row r="62" spans="1:13" ht="14.25" customHeight="1" x14ac:dyDescent="0.25">
      <c r="A62" s="39"/>
      <c r="B62" s="44"/>
      <c r="C62" s="43"/>
      <c r="D62" s="39"/>
      <c r="E62" s="42"/>
      <c r="F62" s="4"/>
      <c r="G62" s="4"/>
      <c r="H62" s="32"/>
      <c r="I62" s="4"/>
      <c r="J62" s="4"/>
      <c r="K62" s="4"/>
      <c r="L62" s="4"/>
      <c r="M62" s="4"/>
    </row>
    <row r="63" spans="1:13" ht="14.25" customHeight="1" x14ac:dyDescent="0.25">
      <c r="A63" s="39"/>
      <c r="B63" s="44"/>
      <c r="C63" s="43"/>
      <c r="D63" s="39"/>
      <c r="E63" s="42"/>
      <c r="F63" s="4"/>
      <c r="G63" s="4"/>
      <c r="H63" s="32"/>
      <c r="I63" s="4"/>
      <c r="J63" s="4"/>
      <c r="K63" s="4"/>
      <c r="L63" s="4"/>
      <c r="M63" s="4"/>
    </row>
    <row r="64" spans="1:13" ht="14.25" customHeight="1" x14ac:dyDescent="0.25">
      <c r="A64" s="39"/>
      <c r="B64" s="44"/>
      <c r="C64" s="43"/>
      <c r="D64" s="39"/>
      <c r="E64" s="42"/>
      <c r="F64" s="4"/>
      <c r="G64" s="4"/>
      <c r="H64" s="32"/>
      <c r="I64" s="4"/>
      <c r="J64" s="4"/>
      <c r="K64" s="4"/>
      <c r="L64" s="4"/>
      <c r="M64" s="4"/>
    </row>
    <row r="65" spans="1:13" ht="14.25" customHeight="1" x14ac:dyDescent="0.25">
      <c r="A65" s="39"/>
      <c r="B65" s="44"/>
      <c r="C65" s="43"/>
      <c r="D65" s="39"/>
      <c r="E65" s="42"/>
      <c r="F65" s="4"/>
      <c r="G65" s="4"/>
      <c r="H65" s="32"/>
      <c r="I65" s="4"/>
      <c r="J65" s="4"/>
      <c r="K65" s="4"/>
      <c r="L65" s="4"/>
      <c r="M65" s="4"/>
    </row>
    <row r="66" spans="1:13" ht="14.25" customHeight="1" x14ac:dyDescent="0.25">
      <c r="A66" s="39"/>
      <c r="B66" s="44"/>
      <c r="C66" s="39"/>
      <c r="D66" s="39"/>
      <c r="E66" s="42"/>
      <c r="F66" s="4"/>
      <c r="G66" s="4"/>
      <c r="H66" s="32"/>
      <c r="I66" s="4"/>
      <c r="J66" s="4"/>
      <c r="K66" s="4"/>
      <c r="L66" s="4"/>
      <c r="M66" s="4"/>
    </row>
    <row r="67" spans="1:13" ht="14.25" customHeight="1" x14ac:dyDescent="0.25">
      <c r="A67" s="39"/>
      <c r="B67" s="44"/>
      <c r="C67" s="39"/>
      <c r="D67" s="39"/>
      <c r="E67" s="42"/>
      <c r="F67" s="4"/>
      <c r="G67" s="4"/>
      <c r="H67" s="32"/>
      <c r="I67" s="4"/>
      <c r="J67" s="4"/>
      <c r="K67" s="4"/>
      <c r="L67" s="4"/>
      <c r="M67" s="4"/>
    </row>
    <row r="68" spans="1:13" ht="14.25" customHeight="1" x14ac:dyDescent="0.25">
      <c r="A68" s="39"/>
      <c r="B68" s="44"/>
      <c r="C68" s="39"/>
      <c r="D68" s="39"/>
      <c r="E68" s="42"/>
      <c r="F68" s="4"/>
      <c r="G68" s="4"/>
      <c r="H68" s="32"/>
      <c r="I68" s="4"/>
      <c r="J68" s="4"/>
      <c r="K68" s="4"/>
      <c r="L68" s="4"/>
      <c r="M68" s="4"/>
    </row>
    <row r="69" spans="1:13" ht="15.75" customHeight="1" x14ac:dyDescent="0.2">
      <c r="A69" s="4"/>
      <c r="B69" s="4"/>
      <c r="C69" s="4"/>
      <c r="D69" s="4"/>
      <c r="E69" s="4"/>
      <c r="F69" s="4"/>
      <c r="G69" s="4"/>
      <c r="H69" s="11"/>
      <c r="I69" s="4"/>
      <c r="J69" s="4"/>
      <c r="K69" s="4"/>
      <c r="L69" s="4"/>
      <c r="M69" s="4"/>
    </row>
    <row r="70" spans="1:13" ht="15.75" customHeight="1" x14ac:dyDescent="0.2">
      <c r="A70" s="4"/>
      <c r="B70" s="4"/>
      <c r="C70" s="4"/>
      <c r="D70" s="4"/>
      <c r="E70" s="4"/>
      <c r="F70" s="4"/>
      <c r="G70" s="4"/>
      <c r="H70" s="11"/>
      <c r="I70" s="4"/>
      <c r="J70" s="4"/>
      <c r="K70" s="4"/>
      <c r="L70" s="4"/>
      <c r="M70" s="4"/>
    </row>
    <row r="71" spans="1:13" ht="15.75" customHeight="1" x14ac:dyDescent="0.2">
      <c r="A71" s="4"/>
      <c r="B71" s="4"/>
      <c r="C71" s="4"/>
      <c r="D71" s="4"/>
      <c r="E71" s="4"/>
      <c r="F71" s="4"/>
      <c r="G71" s="4"/>
      <c r="H71" s="11"/>
      <c r="I71" s="4"/>
      <c r="J71" s="4"/>
      <c r="K71" s="4"/>
      <c r="L71" s="4"/>
      <c r="M71" s="4"/>
    </row>
    <row r="72" spans="1:13" ht="15.75" customHeight="1" x14ac:dyDescent="0.2">
      <c r="A72" s="4"/>
      <c r="B72" s="4"/>
      <c r="C72" s="4"/>
      <c r="D72" s="4"/>
      <c r="E72" s="4"/>
      <c r="F72" s="4"/>
      <c r="G72" s="4"/>
      <c r="H72" s="11"/>
      <c r="I72" s="4"/>
      <c r="J72" s="4"/>
      <c r="K72" s="4"/>
      <c r="L72" s="4"/>
      <c r="M72" s="4"/>
    </row>
    <row r="73" spans="1:13" ht="15.75" customHeight="1" x14ac:dyDescent="0.2">
      <c r="A73" s="4"/>
      <c r="B73" s="4"/>
      <c r="C73" s="4"/>
      <c r="D73" s="4"/>
      <c r="E73" s="4"/>
      <c r="F73" s="4"/>
      <c r="G73" s="4"/>
      <c r="H73" s="11"/>
      <c r="I73" s="4"/>
      <c r="J73" s="4"/>
      <c r="K73" s="4"/>
      <c r="L73" s="4"/>
      <c r="M73" s="4"/>
    </row>
    <row r="74" spans="1:13" ht="15.75" customHeight="1" x14ac:dyDescent="0.2">
      <c r="A74" s="4"/>
      <c r="B74" s="4"/>
      <c r="C74" s="4"/>
      <c r="D74" s="4"/>
      <c r="E74" s="4"/>
      <c r="F74" s="4"/>
      <c r="G74" s="4"/>
      <c r="H74" s="11"/>
      <c r="I74" s="4"/>
      <c r="J74" s="4"/>
      <c r="K74" s="4"/>
      <c r="L74" s="4"/>
      <c r="M74" s="4"/>
    </row>
    <row r="75" spans="1:13" ht="15.75" customHeight="1" x14ac:dyDescent="0.2">
      <c r="A75" s="4"/>
      <c r="B75" s="4"/>
      <c r="C75" s="4"/>
      <c r="D75" s="4"/>
      <c r="E75" s="4"/>
      <c r="F75" s="4"/>
      <c r="G75" s="4"/>
      <c r="H75" s="11"/>
      <c r="I75" s="4"/>
      <c r="J75" s="4"/>
      <c r="K75" s="4"/>
      <c r="L75" s="4"/>
      <c r="M75" s="4"/>
    </row>
    <row r="76" spans="1:13" ht="15.75" customHeight="1" x14ac:dyDescent="0.2">
      <c r="A76" s="4"/>
      <c r="B76" s="4"/>
      <c r="C76" s="4"/>
      <c r="D76" s="4"/>
      <c r="E76" s="4"/>
      <c r="F76" s="4"/>
      <c r="G76" s="4"/>
      <c r="H76" s="11"/>
      <c r="I76" s="4"/>
      <c r="J76" s="4"/>
      <c r="K76" s="4"/>
      <c r="L76" s="4"/>
      <c r="M76" s="4"/>
    </row>
    <row r="77" spans="1:13" ht="15.75" customHeight="1" x14ac:dyDescent="0.2">
      <c r="A77" s="4"/>
      <c r="B77" s="4"/>
      <c r="C77" s="4"/>
      <c r="D77" s="4"/>
      <c r="E77" s="4"/>
      <c r="F77" s="4"/>
      <c r="G77" s="4"/>
      <c r="H77" s="11"/>
      <c r="I77" s="4"/>
      <c r="J77" s="4"/>
      <c r="K77" s="4"/>
      <c r="L77" s="4"/>
      <c r="M77" s="4"/>
    </row>
    <row r="78" spans="1:13" ht="15.75" customHeight="1" x14ac:dyDescent="0.2">
      <c r="A78" s="4"/>
      <c r="B78" s="4"/>
      <c r="C78" s="4"/>
      <c r="D78" s="4"/>
      <c r="E78" s="4"/>
      <c r="F78" s="4"/>
      <c r="G78" s="4"/>
      <c r="H78" s="11"/>
      <c r="I78" s="4"/>
      <c r="J78" s="4"/>
      <c r="K78" s="4"/>
      <c r="L78" s="4"/>
      <c r="M78" s="4"/>
    </row>
    <row r="79" spans="1:13" ht="15.75" customHeight="1" x14ac:dyDescent="0.2">
      <c r="A79" s="4"/>
      <c r="B79" s="4"/>
      <c r="C79" s="4"/>
      <c r="D79" s="4"/>
      <c r="E79" s="4"/>
      <c r="F79" s="4"/>
      <c r="G79" s="4"/>
      <c r="H79" s="11"/>
      <c r="I79" s="4"/>
      <c r="J79" s="4"/>
      <c r="K79" s="4"/>
      <c r="L79" s="4"/>
      <c r="M79" s="4"/>
    </row>
    <row r="80" spans="1:13" ht="15.75" customHeight="1" x14ac:dyDescent="0.2">
      <c r="A80" s="4"/>
      <c r="B80" s="4"/>
      <c r="C80" s="4"/>
      <c r="D80" s="4"/>
      <c r="E80" s="4"/>
      <c r="F80" s="4"/>
      <c r="G80" s="4"/>
      <c r="H80" s="11"/>
      <c r="I80" s="4"/>
      <c r="J80" s="4"/>
      <c r="K80" s="4"/>
      <c r="L80" s="4"/>
      <c r="M80" s="4"/>
    </row>
    <row r="81" spans="1:13" ht="15.75" customHeight="1" x14ac:dyDescent="0.2">
      <c r="A81" s="4"/>
      <c r="B81" s="4"/>
      <c r="C81" s="4"/>
      <c r="D81" s="4"/>
      <c r="E81" s="4"/>
      <c r="F81" s="4"/>
      <c r="G81" s="4"/>
      <c r="H81" s="11"/>
      <c r="I81" s="4"/>
      <c r="J81" s="4"/>
      <c r="K81" s="4"/>
      <c r="L81" s="4"/>
      <c r="M81" s="4"/>
    </row>
    <row r="82" spans="1:13" ht="15.75" customHeight="1" x14ac:dyDescent="0.2">
      <c r="A82" s="4"/>
      <c r="B82" s="4"/>
      <c r="C82" s="4"/>
      <c r="D82" s="4"/>
      <c r="E82" s="4"/>
      <c r="F82" s="4"/>
      <c r="G82" s="4"/>
      <c r="H82" s="11"/>
      <c r="I82" s="4"/>
      <c r="J82" s="4"/>
      <c r="K82" s="4"/>
      <c r="L82" s="4"/>
      <c r="M82" s="4"/>
    </row>
    <row r="83" spans="1:13" ht="15.75" customHeight="1" x14ac:dyDescent="0.2">
      <c r="A83" s="4"/>
      <c r="B83" s="4"/>
      <c r="C83" s="4"/>
      <c r="D83" s="4"/>
      <c r="E83" s="4"/>
      <c r="F83" s="4"/>
      <c r="G83" s="4"/>
      <c r="H83" s="11"/>
      <c r="I83" s="4"/>
      <c r="J83" s="4"/>
      <c r="K83" s="4"/>
      <c r="L83" s="4"/>
      <c r="M83" s="4"/>
    </row>
    <row r="84" spans="1:13" ht="15.75" customHeight="1" x14ac:dyDescent="0.2">
      <c r="A84" s="4"/>
      <c r="B84" s="4"/>
      <c r="C84" s="4"/>
      <c r="D84" s="4"/>
      <c r="E84" s="4"/>
      <c r="F84" s="4"/>
      <c r="G84" s="4"/>
      <c r="H84" s="11"/>
      <c r="I84" s="4"/>
      <c r="J84" s="4"/>
      <c r="K84" s="4"/>
      <c r="L84" s="4"/>
      <c r="M84" s="4"/>
    </row>
    <row r="85" spans="1:13" ht="15.75" customHeight="1" x14ac:dyDescent="0.2">
      <c r="A85" s="4"/>
      <c r="B85" s="4"/>
      <c r="C85" s="4"/>
      <c r="D85" s="4"/>
      <c r="E85" s="4"/>
      <c r="F85" s="4"/>
      <c r="G85" s="4"/>
      <c r="H85" s="11"/>
      <c r="I85" s="4"/>
      <c r="J85" s="4"/>
      <c r="K85" s="4"/>
      <c r="L85" s="4"/>
      <c r="M85" s="4"/>
    </row>
    <row r="86" spans="1:13" ht="15.75" customHeight="1" x14ac:dyDescent="0.2">
      <c r="A86" s="4"/>
      <c r="B86" s="4"/>
      <c r="C86" s="4"/>
      <c r="D86" s="4"/>
      <c r="E86" s="4"/>
      <c r="F86" s="4"/>
      <c r="G86" s="4"/>
      <c r="H86" s="11"/>
      <c r="I86" s="4"/>
      <c r="J86" s="4"/>
      <c r="K86" s="4"/>
      <c r="L86" s="4"/>
      <c r="M86" s="4"/>
    </row>
    <row r="87" spans="1:13" ht="15.75" customHeight="1" x14ac:dyDescent="0.2">
      <c r="A87" s="4"/>
      <c r="B87" s="4"/>
      <c r="C87" s="4"/>
      <c r="D87" s="4"/>
      <c r="E87" s="4"/>
      <c r="F87" s="4"/>
      <c r="G87" s="4"/>
      <c r="H87" s="11"/>
      <c r="I87" s="4"/>
      <c r="J87" s="4"/>
      <c r="K87" s="4"/>
      <c r="L87" s="4"/>
      <c r="M87" s="4"/>
    </row>
    <row r="88" spans="1:13" ht="15.75" customHeight="1" x14ac:dyDescent="0.2">
      <c r="A88" s="4"/>
      <c r="B88" s="4"/>
      <c r="C88" s="4"/>
      <c r="D88" s="4"/>
      <c r="E88" s="4"/>
      <c r="F88" s="4"/>
      <c r="G88" s="4"/>
      <c r="H88" s="11"/>
      <c r="I88" s="4"/>
      <c r="J88" s="4"/>
      <c r="K88" s="4"/>
      <c r="L88" s="4"/>
      <c r="M88" s="4"/>
    </row>
    <row r="89" spans="1:13" ht="15.75" customHeight="1" x14ac:dyDescent="0.2">
      <c r="A89" s="4"/>
      <c r="B89" s="4"/>
      <c r="C89" s="4"/>
      <c r="D89" s="4"/>
      <c r="E89" s="4"/>
      <c r="F89" s="4"/>
      <c r="G89" s="4"/>
      <c r="H89" s="11"/>
      <c r="I89" s="4"/>
      <c r="J89" s="4"/>
      <c r="K89" s="4"/>
      <c r="L89" s="4"/>
      <c r="M89" s="4"/>
    </row>
    <row r="90" spans="1:13" ht="15.75" customHeight="1" x14ac:dyDescent="0.2">
      <c r="A90" s="4"/>
      <c r="B90" s="4"/>
      <c r="C90" s="4"/>
      <c r="D90" s="4"/>
      <c r="E90" s="4"/>
      <c r="F90" s="4"/>
      <c r="G90" s="4"/>
      <c r="H90" s="11"/>
      <c r="I90" s="4"/>
      <c r="J90" s="4"/>
      <c r="K90" s="4"/>
      <c r="L90" s="4"/>
      <c r="M90" s="4"/>
    </row>
    <row r="91" spans="1:13" ht="15.75" customHeight="1" x14ac:dyDescent="0.2">
      <c r="A91" s="4"/>
      <c r="B91" s="4"/>
      <c r="C91" s="4"/>
      <c r="D91" s="4"/>
      <c r="E91" s="4"/>
      <c r="F91" s="4"/>
      <c r="G91" s="4"/>
      <c r="H91" s="11"/>
      <c r="I91" s="4"/>
      <c r="J91" s="4"/>
      <c r="K91" s="4"/>
      <c r="L91" s="4"/>
      <c r="M91" s="4"/>
    </row>
    <row r="92" spans="1:13" ht="15.75" customHeight="1" x14ac:dyDescent="0.2">
      <c r="A92" s="4"/>
      <c r="B92" s="4"/>
      <c r="C92" s="4"/>
      <c r="D92" s="4"/>
      <c r="E92" s="4"/>
      <c r="F92" s="4"/>
      <c r="G92" s="4"/>
      <c r="H92" s="11"/>
      <c r="I92" s="4"/>
      <c r="J92" s="4"/>
      <c r="K92" s="4"/>
      <c r="L92" s="4"/>
      <c r="M92" s="4"/>
    </row>
    <row r="93" spans="1:13" ht="15.75" customHeight="1" x14ac:dyDescent="0.2">
      <c r="A93" s="4"/>
      <c r="B93" s="4"/>
      <c r="C93" s="4"/>
      <c r="D93" s="4"/>
      <c r="E93" s="4"/>
      <c r="F93" s="4"/>
      <c r="G93" s="4"/>
      <c r="H93" s="11"/>
      <c r="I93" s="4"/>
      <c r="J93" s="4"/>
      <c r="K93" s="4"/>
      <c r="L93" s="4"/>
      <c r="M93" s="4"/>
    </row>
    <row r="94" spans="1:13" ht="15.75" customHeight="1" x14ac:dyDescent="0.2">
      <c r="A94" s="4"/>
      <c r="B94" s="4"/>
      <c r="C94" s="4"/>
      <c r="D94" s="4"/>
      <c r="E94" s="4"/>
      <c r="F94" s="4"/>
      <c r="G94" s="4"/>
      <c r="H94" s="11"/>
      <c r="I94" s="4"/>
      <c r="J94" s="4"/>
      <c r="K94" s="4"/>
      <c r="L94" s="4"/>
      <c r="M94" s="4"/>
    </row>
  </sheetData>
  <mergeCells count="26">
    <mergeCell ref="A22:B22"/>
    <mergeCell ref="A21:B21"/>
    <mergeCell ref="A17:B17"/>
    <mergeCell ref="A25:B25"/>
    <mergeCell ref="A23:B24"/>
    <mergeCell ref="B4:D4"/>
    <mergeCell ref="E1:F4"/>
    <mergeCell ref="B3:D3"/>
    <mergeCell ref="A5:F5"/>
    <mergeCell ref="A6:B8"/>
    <mergeCell ref="C14:F14"/>
    <mergeCell ref="B2:D2"/>
    <mergeCell ref="B1:D1"/>
    <mergeCell ref="C13:F13"/>
    <mergeCell ref="C11:F11"/>
    <mergeCell ref="C12:F12"/>
    <mergeCell ref="C6:E6"/>
    <mergeCell ref="C10:F10"/>
    <mergeCell ref="C7:E7"/>
    <mergeCell ref="C9:F9"/>
    <mergeCell ref="D43:E43"/>
    <mergeCell ref="D22:F22"/>
    <mergeCell ref="C17:F17"/>
    <mergeCell ref="C16:F16"/>
    <mergeCell ref="C8:E8"/>
    <mergeCell ref="C15:F15"/>
  </mergeCells>
  <printOptions horizontalCentered="1"/>
  <pageMargins left="0.19685039370078741" right="0.19685039370078741" top="0.74803149606299213" bottom="0.74803149606299213" header="0" footer="0"/>
  <pageSetup scale="70" orientation="portrait" r:id="rId1"/>
  <headerFooter>
    <oddFooter>&amp;CPágina &amp;P de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88"/>
  <sheetViews>
    <sheetView view="pageBreakPreview" topLeftCell="E13" zoomScale="82" zoomScaleNormal="70" zoomScaleSheetLayoutView="55" workbookViewId="0">
      <selection activeCell="L21" sqref="L21"/>
    </sheetView>
  </sheetViews>
  <sheetFormatPr defaultColWidth="12.5703125" defaultRowHeight="15" customHeight="1" x14ac:dyDescent="0.2"/>
  <cols>
    <col min="1" max="1" width="9.5703125" customWidth="1"/>
    <col min="2" max="2" width="32.7109375" customWidth="1"/>
    <col min="3" max="3" width="5.85546875" customWidth="1"/>
    <col min="4" max="4" width="10.42578125" customWidth="1"/>
    <col min="5" max="5" width="12.5703125" customWidth="1"/>
    <col min="6" max="6" width="8.85546875" customWidth="1"/>
    <col min="7" max="8" width="9.42578125" customWidth="1"/>
    <col min="9" max="9" width="10.5703125" customWidth="1"/>
    <col min="10" max="10" width="10.85546875" customWidth="1"/>
    <col min="11" max="15" width="11.28515625" customWidth="1"/>
    <col min="16" max="16" width="10.85546875" customWidth="1"/>
    <col min="17" max="17" width="13" customWidth="1"/>
    <col min="18" max="23" width="13" style="197" customWidth="1"/>
    <col min="24" max="24" width="11.140625" customWidth="1"/>
    <col min="25" max="25" width="12.140625" customWidth="1"/>
  </cols>
  <sheetData>
    <row r="1" spans="1:25" ht="96.6" customHeight="1" x14ac:dyDescent="0.2">
      <c r="A1" s="90"/>
      <c r="B1" s="91"/>
      <c r="C1" s="90" t="s">
        <v>1154</v>
      </c>
      <c r="D1" s="92"/>
      <c r="E1" s="93"/>
      <c r="F1" s="94"/>
      <c r="G1" s="11"/>
      <c r="H1" s="11"/>
      <c r="I1" s="11"/>
      <c r="J1" s="11"/>
      <c r="K1" s="11"/>
      <c r="L1" s="11"/>
      <c r="M1" s="11"/>
      <c r="N1" s="11"/>
      <c r="O1" s="11"/>
      <c r="P1" s="11"/>
      <c r="Q1" s="11"/>
      <c r="R1" s="11"/>
      <c r="S1" s="11"/>
      <c r="T1" s="11"/>
      <c r="U1" s="11"/>
      <c r="V1" s="11"/>
      <c r="W1" s="11"/>
      <c r="X1" s="11"/>
      <c r="Y1" s="11"/>
    </row>
    <row r="2" spans="1:25" ht="39.6" customHeight="1" x14ac:dyDescent="0.2">
      <c r="A2" s="95" t="s">
        <v>120</v>
      </c>
      <c r="B2" s="96"/>
      <c r="C2" s="97"/>
      <c r="D2" s="98"/>
      <c r="E2" s="99"/>
      <c r="F2" s="11"/>
      <c r="G2" s="11"/>
      <c r="H2" s="11"/>
      <c r="I2" s="11"/>
      <c r="J2" s="11"/>
      <c r="K2" s="11"/>
      <c r="L2" s="11"/>
      <c r="M2" s="11"/>
      <c r="N2" s="11"/>
      <c r="O2" s="11"/>
      <c r="P2" s="11"/>
      <c r="Q2" s="11"/>
      <c r="R2" s="11"/>
      <c r="S2" s="11"/>
      <c r="T2" s="11"/>
      <c r="U2" s="11"/>
      <c r="V2" s="11"/>
      <c r="W2" s="11"/>
      <c r="X2" s="11"/>
      <c r="Y2" s="11"/>
    </row>
    <row r="3" spans="1:25" ht="30" customHeight="1" thickBot="1" x14ac:dyDescent="0.25">
      <c r="A3" s="100" t="s">
        <v>12</v>
      </c>
      <c r="B3" s="101" t="s">
        <v>62</v>
      </c>
      <c r="C3" s="102" t="s">
        <v>45</v>
      </c>
      <c r="D3" s="103" t="s">
        <v>121</v>
      </c>
      <c r="E3" s="104" t="s">
        <v>122</v>
      </c>
      <c r="F3" s="105" t="s">
        <v>123</v>
      </c>
      <c r="G3" s="106" t="s">
        <v>124</v>
      </c>
      <c r="H3" s="106" t="s">
        <v>125</v>
      </c>
      <c r="I3" s="106" t="s">
        <v>126</v>
      </c>
      <c r="J3" s="106" t="s">
        <v>127</v>
      </c>
      <c r="K3" s="106" t="s">
        <v>128</v>
      </c>
      <c r="L3" s="106" t="s">
        <v>129</v>
      </c>
      <c r="M3" s="106" t="s">
        <v>130</v>
      </c>
      <c r="N3" s="106" t="s">
        <v>131</v>
      </c>
      <c r="O3" s="106" t="s">
        <v>132</v>
      </c>
      <c r="P3" s="106" t="s">
        <v>133</v>
      </c>
      <c r="Q3" s="106" t="s">
        <v>134</v>
      </c>
      <c r="R3" s="106" t="s">
        <v>1084</v>
      </c>
      <c r="S3" s="106" t="s">
        <v>1085</v>
      </c>
      <c r="T3" s="106" t="s">
        <v>1086</v>
      </c>
      <c r="U3" s="106" t="s">
        <v>1087</v>
      </c>
      <c r="V3" s="106" t="s">
        <v>1088</v>
      </c>
      <c r="W3" s="106" t="s">
        <v>1089</v>
      </c>
      <c r="X3" s="107" t="s">
        <v>135</v>
      </c>
      <c r="Y3" s="73"/>
    </row>
    <row r="4" spans="1:25" ht="30" customHeight="1" thickTop="1" x14ac:dyDescent="0.2">
      <c r="A4" s="108">
        <v>1</v>
      </c>
      <c r="B4" s="109" t="s">
        <v>675</v>
      </c>
      <c r="C4" s="110" t="s">
        <v>45</v>
      </c>
      <c r="D4" s="111">
        <v>1</v>
      </c>
      <c r="E4" s="112">
        <f>Resumo!C10</f>
        <v>359918.83</v>
      </c>
      <c r="F4" s="126">
        <v>0.6</v>
      </c>
      <c r="G4" s="126">
        <v>0.3</v>
      </c>
      <c r="H4" s="126">
        <v>0.1</v>
      </c>
      <c r="I4" s="113"/>
      <c r="J4" s="113"/>
      <c r="K4" s="113"/>
      <c r="L4" s="113"/>
      <c r="M4" s="113"/>
      <c r="N4" s="113"/>
      <c r="O4" s="113"/>
      <c r="P4" s="113"/>
      <c r="Q4" s="113"/>
      <c r="R4" s="113"/>
      <c r="S4" s="113"/>
      <c r="T4" s="113"/>
      <c r="U4" s="113"/>
      <c r="V4" s="113"/>
      <c r="W4" s="113"/>
      <c r="X4" s="114">
        <f t="shared" ref="X4:X17" si="0">SUM(F4:W4)</f>
        <v>0.99999999999999989</v>
      </c>
      <c r="Y4" s="11"/>
    </row>
    <row r="5" spans="1:25" ht="30" customHeight="1" thickBot="1" x14ac:dyDescent="0.25">
      <c r="A5" s="115"/>
      <c r="B5" s="116"/>
      <c r="C5" s="117"/>
      <c r="D5" s="118"/>
      <c r="E5" s="119"/>
      <c r="F5" s="132">
        <f>$E$4*F4</f>
        <v>215951.29800000001</v>
      </c>
      <c r="G5" s="132">
        <f>$E$4*G4</f>
        <v>107975.649</v>
      </c>
      <c r="H5" s="132">
        <f>$E$4*H4</f>
        <v>35991.883000000002</v>
      </c>
      <c r="I5" s="121"/>
      <c r="J5" s="121"/>
      <c r="K5" s="121"/>
      <c r="L5" s="121"/>
      <c r="M5" s="121"/>
      <c r="N5" s="121"/>
      <c r="O5" s="121"/>
      <c r="P5" s="121"/>
      <c r="Q5" s="121"/>
      <c r="R5" s="121"/>
      <c r="S5" s="121"/>
      <c r="T5" s="121"/>
      <c r="U5" s="121"/>
      <c r="V5" s="121"/>
      <c r="W5" s="121"/>
      <c r="X5" s="121">
        <f t="shared" si="0"/>
        <v>359918.83000000007</v>
      </c>
      <c r="Y5" s="122"/>
    </row>
    <row r="6" spans="1:25" ht="30" customHeight="1" thickTop="1" x14ac:dyDescent="0.2">
      <c r="A6" s="123">
        <v>2</v>
      </c>
      <c r="B6" s="124" t="s">
        <v>136</v>
      </c>
      <c r="C6" s="110" t="s">
        <v>45</v>
      </c>
      <c r="D6" s="111">
        <v>1</v>
      </c>
      <c r="E6" s="125">
        <f>Resumo!C11</f>
        <v>559129.76</v>
      </c>
      <c r="F6" s="126">
        <v>5.5599999999999997E-2</v>
      </c>
      <c r="G6" s="126">
        <v>5.5599999999999997E-2</v>
      </c>
      <c r="H6" s="126">
        <v>5.5599999999999997E-2</v>
      </c>
      <c r="I6" s="126">
        <v>5.5599999999999997E-2</v>
      </c>
      <c r="J6" s="126">
        <v>5.5599999999999997E-2</v>
      </c>
      <c r="K6" s="126">
        <v>5.5599999999999997E-2</v>
      </c>
      <c r="L6" s="126">
        <v>5.5599999999999997E-2</v>
      </c>
      <c r="M6" s="126">
        <v>5.5599999999999997E-2</v>
      </c>
      <c r="N6" s="126">
        <v>5.5599999999999997E-2</v>
      </c>
      <c r="O6" s="126">
        <v>5.5599999999999997E-2</v>
      </c>
      <c r="P6" s="126">
        <v>5.5599999999999997E-2</v>
      </c>
      <c r="Q6" s="126">
        <v>5.5599999999999997E-2</v>
      </c>
      <c r="R6" s="126"/>
      <c r="S6" s="126"/>
      <c r="T6" s="126"/>
      <c r="U6" s="126"/>
      <c r="V6" s="126"/>
      <c r="W6" s="126"/>
      <c r="X6" s="114">
        <f t="shared" si="0"/>
        <v>0.6671999999999999</v>
      </c>
      <c r="Y6" s="122"/>
    </row>
    <row r="7" spans="1:25" ht="30" customHeight="1" thickBot="1" x14ac:dyDescent="0.25">
      <c r="A7" s="127"/>
      <c r="B7" s="128"/>
      <c r="C7" s="129"/>
      <c r="D7" s="130"/>
      <c r="E7" s="131"/>
      <c r="F7" s="132">
        <f t="shared" ref="F7:Q7" si="1">$E$6*F6</f>
        <v>31087.614655999998</v>
      </c>
      <c r="G7" s="132">
        <f t="shared" si="1"/>
        <v>31087.614655999998</v>
      </c>
      <c r="H7" s="132">
        <f t="shared" si="1"/>
        <v>31087.614655999998</v>
      </c>
      <c r="I7" s="132">
        <f t="shared" si="1"/>
        <v>31087.614655999998</v>
      </c>
      <c r="J7" s="132">
        <f t="shared" si="1"/>
        <v>31087.614655999998</v>
      </c>
      <c r="K7" s="132">
        <f t="shared" si="1"/>
        <v>31087.614655999998</v>
      </c>
      <c r="L7" s="132">
        <f t="shared" si="1"/>
        <v>31087.614655999998</v>
      </c>
      <c r="M7" s="132">
        <f t="shared" si="1"/>
        <v>31087.614655999998</v>
      </c>
      <c r="N7" s="132">
        <f t="shared" si="1"/>
        <v>31087.614655999998</v>
      </c>
      <c r="O7" s="132">
        <f t="shared" si="1"/>
        <v>31087.614655999998</v>
      </c>
      <c r="P7" s="132">
        <f t="shared" si="1"/>
        <v>31087.614655999998</v>
      </c>
      <c r="Q7" s="132">
        <f t="shared" si="1"/>
        <v>31087.614655999998</v>
      </c>
      <c r="R7" s="132">
        <f t="shared" ref="R7:W7" si="2">$E$6*R6</f>
        <v>0</v>
      </c>
      <c r="S7" s="132">
        <f t="shared" si="2"/>
        <v>0</v>
      </c>
      <c r="T7" s="132">
        <f t="shared" si="2"/>
        <v>0</v>
      </c>
      <c r="U7" s="132">
        <f t="shared" si="2"/>
        <v>0</v>
      </c>
      <c r="V7" s="132">
        <f t="shared" si="2"/>
        <v>0</v>
      </c>
      <c r="W7" s="132">
        <f t="shared" si="2"/>
        <v>0</v>
      </c>
      <c r="X7" s="121">
        <f t="shared" si="0"/>
        <v>373051.37587199995</v>
      </c>
    </row>
    <row r="8" spans="1:25" ht="30" customHeight="1" thickTop="1" x14ac:dyDescent="0.2">
      <c r="A8" s="123">
        <v>3</v>
      </c>
      <c r="B8" s="133" t="s">
        <v>137</v>
      </c>
      <c r="C8" s="134" t="s">
        <v>45</v>
      </c>
      <c r="D8" s="135">
        <v>1</v>
      </c>
      <c r="E8" s="125">
        <f>Resumo!C12</f>
        <v>685204.36</v>
      </c>
      <c r="F8" s="136"/>
      <c r="G8" s="126">
        <v>0.33329999999999999</v>
      </c>
      <c r="H8" s="126">
        <v>0.33329999999999999</v>
      </c>
      <c r="I8" s="126">
        <v>0.33339999999999997</v>
      </c>
      <c r="J8" s="137"/>
      <c r="K8" s="137"/>
      <c r="L8" s="138"/>
      <c r="M8" s="139"/>
      <c r="N8" s="139"/>
      <c r="O8" s="139"/>
      <c r="P8" s="139"/>
      <c r="Q8" s="139"/>
      <c r="R8" s="139"/>
      <c r="S8" s="139"/>
      <c r="T8" s="139"/>
      <c r="U8" s="139"/>
      <c r="V8" s="139"/>
      <c r="W8" s="139"/>
      <c r="X8" s="114">
        <f t="shared" si="0"/>
        <v>1</v>
      </c>
      <c r="Y8" s="122"/>
    </row>
    <row r="9" spans="1:25" ht="30" customHeight="1" thickBot="1" x14ac:dyDescent="0.25">
      <c r="A9" s="140"/>
      <c r="B9" s="141"/>
      <c r="C9" s="142"/>
      <c r="D9" s="143"/>
      <c r="E9" s="144"/>
      <c r="F9" s="145"/>
      <c r="G9" s="146">
        <f>$E$8*G8</f>
        <v>228378.61318799999</v>
      </c>
      <c r="H9" s="146">
        <f>$E$8*H8</f>
        <v>228378.61318799999</v>
      </c>
      <c r="I9" s="146">
        <f>$E$8*I8</f>
        <v>228447.13362399998</v>
      </c>
      <c r="J9" s="146"/>
      <c r="K9" s="146"/>
      <c r="L9" s="146"/>
      <c r="M9" s="146"/>
      <c r="N9" s="146"/>
      <c r="O9" s="146"/>
      <c r="P9" s="146"/>
      <c r="Q9" s="146"/>
      <c r="R9" s="146"/>
      <c r="S9" s="146"/>
      <c r="T9" s="146"/>
      <c r="U9" s="146"/>
      <c r="V9" s="146"/>
      <c r="W9" s="146"/>
      <c r="X9" s="121">
        <f t="shared" si="0"/>
        <v>685204.36</v>
      </c>
    </row>
    <row r="10" spans="1:25" ht="30" customHeight="1" thickTop="1" x14ac:dyDescent="0.2">
      <c r="A10" s="123">
        <v>4</v>
      </c>
      <c r="B10" s="133" t="s">
        <v>138</v>
      </c>
      <c r="C10" s="134" t="s">
        <v>45</v>
      </c>
      <c r="D10" s="135">
        <v>1</v>
      </c>
      <c r="E10" s="125">
        <f>Resumo!C13</f>
        <v>81093.150000000023</v>
      </c>
      <c r="F10" s="136"/>
      <c r="G10" s="137"/>
      <c r="H10" s="137"/>
      <c r="I10" s="126">
        <v>0.33329999999999999</v>
      </c>
      <c r="J10" s="126">
        <v>0.33329999999999999</v>
      </c>
      <c r="K10" s="126">
        <v>0.33339999999999997</v>
      </c>
      <c r="L10" s="137"/>
      <c r="M10" s="137"/>
      <c r="N10" s="137"/>
      <c r="O10" s="137"/>
      <c r="P10" s="137"/>
      <c r="Q10" s="139"/>
      <c r="R10" s="139"/>
      <c r="S10" s="139"/>
      <c r="T10" s="139"/>
      <c r="U10" s="139"/>
      <c r="V10" s="139"/>
      <c r="W10" s="139"/>
      <c r="X10" s="114">
        <f t="shared" si="0"/>
        <v>1</v>
      </c>
      <c r="Y10" s="122"/>
    </row>
    <row r="11" spans="1:25" ht="30" customHeight="1" thickBot="1" x14ac:dyDescent="0.25">
      <c r="A11" s="115"/>
      <c r="B11" s="116"/>
      <c r="C11" s="117"/>
      <c r="D11" s="118"/>
      <c r="E11" s="119"/>
      <c r="F11" s="120"/>
      <c r="G11" s="121"/>
      <c r="H11" s="121"/>
      <c r="I11" s="121">
        <f>$E10*I10</f>
        <v>27028.346895000006</v>
      </c>
      <c r="J11" s="121">
        <f>$E10*J10</f>
        <v>27028.346895000006</v>
      </c>
      <c r="K11" s="121">
        <f>$E10*K10</f>
        <v>27036.456210000004</v>
      </c>
      <c r="L11" s="121"/>
      <c r="M11" s="121"/>
      <c r="N11" s="121"/>
      <c r="O11" s="121"/>
      <c r="P11" s="121"/>
      <c r="Q11" s="121"/>
      <c r="R11" s="121"/>
      <c r="S11" s="121"/>
      <c r="T11" s="121"/>
      <c r="U11" s="121"/>
      <c r="V11" s="121"/>
      <c r="W11" s="121"/>
      <c r="X11" s="121">
        <f t="shared" si="0"/>
        <v>81093.150000000023</v>
      </c>
    </row>
    <row r="12" spans="1:25" ht="30" customHeight="1" thickTop="1" x14ac:dyDescent="0.2">
      <c r="A12" s="123">
        <v>5</v>
      </c>
      <c r="B12" s="147" t="s">
        <v>139</v>
      </c>
      <c r="C12" s="134" t="s">
        <v>45</v>
      </c>
      <c r="D12" s="135">
        <v>1</v>
      </c>
      <c r="E12" s="125">
        <f>Resumo!C14</f>
        <v>1944715.2199999997</v>
      </c>
      <c r="F12" s="136"/>
      <c r="G12" s="139"/>
      <c r="H12" s="137"/>
      <c r="I12" s="137"/>
      <c r="J12" s="126">
        <v>0.25</v>
      </c>
      <c r="K12" s="126">
        <v>0.25</v>
      </c>
      <c r="L12" s="126">
        <v>0.25</v>
      </c>
      <c r="M12" s="126">
        <v>0.25</v>
      </c>
      <c r="N12" s="137"/>
      <c r="O12" s="137"/>
      <c r="P12" s="139"/>
      <c r="Q12" s="139"/>
      <c r="R12" s="139"/>
      <c r="S12" s="139"/>
      <c r="T12" s="139"/>
      <c r="U12" s="139"/>
      <c r="V12" s="139"/>
      <c r="W12" s="139"/>
      <c r="X12" s="114">
        <f t="shared" si="0"/>
        <v>1</v>
      </c>
      <c r="Y12" s="122"/>
    </row>
    <row r="13" spans="1:25" ht="30" customHeight="1" thickBot="1" x14ac:dyDescent="0.25">
      <c r="A13" s="115"/>
      <c r="B13" s="116"/>
      <c r="C13" s="117"/>
      <c r="D13" s="118"/>
      <c r="E13" s="119"/>
      <c r="F13" s="120"/>
      <c r="G13" s="121"/>
      <c r="H13" s="121"/>
      <c r="I13" s="121"/>
      <c r="J13" s="121">
        <f>$E$12*J12</f>
        <v>486178.80499999993</v>
      </c>
      <c r="K13" s="121">
        <f>$E$12*K12</f>
        <v>486178.80499999993</v>
      </c>
      <c r="L13" s="121">
        <f>$E$12*L12</f>
        <v>486178.80499999993</v>
      </c>
      <c r="M13" s="121">
        <f>$E$12*M12</f>
        <v>486178.80499999993</v>
      </c>
      <c r="N13" s="121"/>
      <c r="O13" s="121"/>
      <c r="P13" s="121"/>
      <c r="Q13" s="121"/>
      <c r="R13" s="121"/>
      <c r="S13" s="121"/>
      <c r="T13" s="121"/>
      <c r="U13" s="121"/>
      <c r="V13" s="121"/>
      <c r="W13" s="121"/>
      <c r="X13" s="121">
        <f t="shared" si="0"/>
        <v>1944715.2199999997</v>
      </c>
    </row>
    <row r="14" spans="1:25" ht="30" customHeight="1" thickTop="1" x14ac:dyDescent="0.2">
      <c r="A14" s="123">
        <v>7</v>
      </c>
      <c r="B14" s="147" t="s">
        <v>140</v>
      </c>
      <c r="C14" s="134" t="s">
        <v>45</v>
      </c>
      <c r="D14" s="135">
        <v>1</v>
      </c>
      <c r="E14" s="125">
        <f>Resumo!C15</f>
        <v>947688.54000000062</v>
      </c>
      <c r="F14" s="136"/>
      <c r="G14" s="139"/>
      <c r="H14" s="139"/>
      <c r="I14" s="126">
        <v>0.16669999999999999</v>
      </c>
      <c r="J14" s="126">
        <v>0.16669999999999999</v>
      </c>
      <c r="K14" s="126">
        <v>0.16669999999999999</v>
      </c>
      <c r="L14" s="126">
        <v>0.16669999999999999</v>
      </c>
      <c r="M14" s="126">
        <v>0.16669999999999999</v>
      </c>
      <c r="N14" s="126">
        <v>0.16650000000000001</v>
      </c>
      <c r="O14" s="137"/>
      <c r="P14" s="137"/>
      <c r="Q14" s="139"/>
      <c r="R14" s="139"/>
      <c r="S14" s="139"/>
      <c r="T14" s="139"/>
      <c r="U14" s="139"/>
      <c r="V14" s="139"/>
      <c r="W14" s="139"/>
      <c r="X14" s="114">
        <f t="shared" si="0"/>
        <v>0.99999999999999989</v>
      </c>
    </row>
    <row r="15" spans="1:25" ht="30" customHeight="1" thickBot="1" x14ac:dyDescent="0.25">
      <c r="A15" s="115"/>
      <c r="B15" s="116"/>
      <c r="C15" s="117"/>
      <c r="D15" s="118"/>
      <c r="E15" s="119"/>
      <c r="F15" s="120"/>
      <c r="G15" s="121"/>
      <c r="H15" s="121"/>
      <c r="I15" s="121">
        <f t="shared" ref="I15:N15" si="3">$E14*I14</f>
        <v>157979.67961800008</v>
      </c>
      <c r="J15" s="121">
        <f t="shared" si="3"/>
        <v>157979.67961800008</v>
      </c>
      <c r="K15" s="121">
        <f t="shared" si="3"/>
        <v>157979.67961800008</v>
      </c>
      <c r="L15" s="121">
        <f t="shared" si="3"/>
        <v>157979.67961800008</v>
      </c>
      <c r="M15" s="121">
        <f t="shared" si="3"/>
        <v>157979.67961800008</v>
      </c>
      <c r="N15" s="121">
        <f t="shared" si="3"/>
        <v>157790.14191000012</v>
      </c>
      <c r="O15" s="121"/>
      <c r="P15" s="121"/>
      <c r="Q15" s="121"/>
      <c r="R15" s="121"/>
      <c r="S15" s="121"/>
      <c r="T15" s="121"/>
      <c r="U15" s="121"/>
      <c r="V15" s="121"/>
      <c r="W15" s="121"/>
      <c r="X15" s="121">
        <f t="shared" si="0"/>
        <v>947688.5400000005</v>
      </c>
    </row>
    <row r="16" spans="1:25" ht="30" customHeight="1" thickTop="1" x14ac:dyDescent="0.2">
      <c r="A16" s="123">
        <v>9</v>
      </c>
      <c r="B16" s="147" t="s">
        <v>141</v>
      </c>
      <c r="C16" s="134" t="s">
        <v>45</v>
      </c>
      <c r="D16" s="135">
        <v>1</v>
      </c>
      <c r="E16" s="125">
        <f>Resumo!C16</f>
        <v>598507.01000000036</v>
      </c>
      <c r="F16" s="136"/>
      <c r="G16" s="139"/>
      <c r="H16" s="139"/>
      <c r="I16" s="137"/>
      <c r="J16" s="137"/>
      <c r="K16" s="126">
        <v>0.2</v>
      </c>
      <c r="L16" s="126">
        <v>0.2</v>
      </c>
      <c r="M16" s="126">
        <v>0.2</v>
      </c>
      <c r="N16" s="126">
        <v>0.2</v>
      </c>
      <c r="O16" s="126">
        <v>0.2</v>
      </c>
      <c r="P16" s="137"/>
      <c r="Q16" s="139"/>
      <c r="R16" s="139"/>
      <c r="S16" s="139"/>
      <c r="T16" s="139"/>
      <c r="U16" s="139"/>
      <c r="V16" s="139"/>
      <c r="W16" s="139"/>
      <c r="X16" s="114">
        <f t="shared" si="0"/>
        <v>1</v>
      </c>
    </row>
    <row r="17" spans="1:25" ht="30" customHeight="1" thickBot="1" x14ac:dyDescent="0.25">
      <c r="A17" s="115"/>
      <c r="B17" s="116"/>
      <c r="C17" s="117"/>
      <c r="D17" s="118"/>
      <c r="E17" s="119"/>
      <c r="F17" s="120"/>
      <c r="G17" s="121"/>
      <c r="H17" s="121"/>
      <c r="I17" s="121"/>
      <c r="J17" s="121"/>
      <c r="K17" s="121">
        <f>$E16*K16</f>
        <v>119701.40200000007</v>
      </c>
      <c r="L17" s="121">
        <f>$E16*L16</f>
        <v>119701.40200000007</v>
      </c>
      <c r="M17" s="121">
        <f>$E16*M16</f>
        <v>119701.40200000007</v>
      </c>
      <c r="N17" s="121">
        <f>$E16*N16</f>
        <v>119701.40200000007</v>
      </c>
      <c r="O17" s="121">
        <f>$E16*O16</f>
        <v>119701.40200000007</v>
      </c>
      <c r="P17" s="121"/>
      <c r="Q17" s="121"/>
      <c r="R17" s="121"/>
      <c r="S17" s="121"/>
      <c r="T17" s="121"/>
      <c r="U17" s="121"/>
      <c r="V17" s="121"/>
      <c r="W17" s="121"/>
      <c r="X17" s="121">
        <f t="shared" si="0"/>
        <v>598507.01000000036</v>
      </c>
    </row>
    <row r="18" spans="1:25" ht="30" customHeight="1" thickTop="1" thickBot="1" x14ac:dyDescent="0.25">
      <c r="A18" s="390" t="s">
        <v>19</v>
      </c>
      <c r="B18" s="391"/>
      <c r="C18" s="391"/>
      <c r="D18" s="392"/>
      <c r="E18" s="148">
        <f>SUM(E4:E17)</f>
        <v>5176256.870000001</v>
      </c>
      <c r="F18" s="149"/>
      <c r="G18" s="150"/>
      <c r="H18" s="150"/>
      <c r="I18" s="150"/>
      <c r="J18" s="150"/>
      <c r="K18" s="150"/>
      <c r="L18" s="150"/>
      <c r="M18" s="150"/>
      <c r="N18" s="150"/>
      <c r="O18" s="150"/>
      <c r="P18" s="150"/>
      <c r="Q18" s="150"/>
      <c r="R18" s="150"/>
      <c r="S18" s="150"/>
      <c r="T18" s="150"/>
      <c r="U18" s="150"/>
      <c r="V18" s="150"/>
      <c r="W18" s="150"/>
      <c r="X18" s="150"/>
    </row>
    <row r="19" spans="1:25" ht="30" customHeight="1" thickTop="1" x14ac:dyDescent="0.2">
      <c r="A19" s="151"/>
      <c r="B19" s="152"/>
      <c r="C19" s="151"/>
      <c r="D19" s="153"/>
      <c r="E19" s="198" t="s">
        <v>142</v>
      </c>
      <c r="F19" s="154" t="e">
        <f>+F5+F7+F9+F11+F13+#REF!+F15+#REF!+F17+#REF!+#REF!+#REF!</f>
        <v>#REF!</v>
      </c>
      <c r="G19" s="154" t="e">
        <f>+G5+G7+G9+G11+G13+#REF!+G15+#REF!+G17+#REF!+#REF!+#REF!</f>
        <v>#REF!</v>
      </c>
      <c r="H19" s="154" t="e">
        <f>+H5+H7+H9+H11+H13+#REF!+H15+#REF!+H17+#REF!+#REF!+#REF!</f>
        <v>#REF!</v>
      </c>
      <c r="I19" s="154" t="e">
        <f>+I5+I7+I9+I11+I13+#REF!+I15+#REF!+I17+#REF!+#REF!+#REF!</f>
        <v>#REF!</v>
      </c>
      <c r="J19" s="154" t="e">
        <f>+J5+J7+J9+J11+J13+#REF!+J15+#REF!+J17+#REF!+#REF!+#REF!</f>
        <v>#REF!</v>
      </c>
      <c r="K19" s="154" t="e">
        <f>+K5+K7+K9+K11+K13+#REF!+K15+#REF!+K17+#REF!+#REF!+#REF!</f>
        <v>#REF!</v>
      </c>
      <c r="L19" s="154" t="e">
        <f>+L5+L7+L9+L11+L13+#REF!+L15+#REF!+L17+#REF!+#REF!+#REF!</f>
        <v>#REF!</v>
      </c>
      <c r="M19" s="154" t="e">
        <f>+M5+M7+M9+M11+M13+#REF!+M15+#REF!+M17+#REF!+#REF!+#REF!</f>
        <v>#REF!</v>
      </c>
      <c r="N19" s="154" t="e">
        <f>+N5+N7+N9+N11+N13+#REF!+N15+#REF!+N17+#REF!+#REF!+#REF!</f>
        <v>#REF!</v>
      </c>
      <c r="O19" s="154" t="e">
        <f>+O5+O7+O9+O11+O13+#REF!+O15+#REF!+O17+#REF!+#REF!+#REF!</f>
        <v>#REF!</v>
      </c>
      <c r="P19" s="154" t="e">
        <f>+P5+P7+P9+P11+P13+#REF!+P15+#REF!+P17+#REF!+#REF!+#REF!</f>
        <v>#REF!</v>
      </c>
      <c r="Q19" s="154" t="e">
        <f>+Q5+Q7+Q9+Q11+Q13+#REF!+Q15+#REF!+Q17+#REF!+#REF!+#REF!</f>
        <v>#REF!</v>
      </c>
      <c r="R19" s="154" t="e">
        <f>+R5+R7+R9+R11+R13+#REF!+R15+#REF!+R17+#REF!+#REF!+#REF!</f>
        <v>#REF!</v>
      </c>
      <c r="S19" s="154" t="e">
        <f>+S5+S7+S9+S11+S13+#REF!+S15+#REF!+S17+#REF!+#REF!+#REF!</f>
        <v>#REF!</v>
      </c>
      <c r="T19" s="154" t="e">
        <f>+T5+T7+T9+T11+T13+#REF!+T15+#REF!+T17+#REF!+#REF!+#REF!</f>
        <v>#REF!</v>
      </c>
      <c r="U19" s="154" t="e">
        <f>+U5+U7+U9+U11+U13+#REF!+U15+#REF!+U17+#REF!+#REF!+#REF!</f>
        <v>#REF!</v>
      </c>
      <c r="V19" s="154" t="e">
        <f>+V5+V7+V9+V11+V13+#REF!+V15+#REF!+V17+#REF!+#REF!+#REF!</f>
        <v>#REF!</v>
      </c>
      <c r="W19" s="154" t="e">
        <f>+W5+W7+W9+W11+W13+#REF!+W15+#REF!+W17+#REF!+#REF!+#REF!</f>
        <v>#REF!</v>
      </c>
      <c r="X19" s="146"/>
      <c r="Y19" s="155"/>
    </row>
    <row r="20" spans="1:25" ht="30" customHeight="1" x14ac:dyDescent="0.2">
      <c r="A20" s="156"/>
      <c r="B20" s="152"/>
      <c r="C20" s="157"/>
      <c r="D20" s="157"/>
      <c r="E20" s="47" t="s">
        <v>143</v>
      </c>
      <c r="F20" s="154" t="e">
        <f>+F19</f>
        <v>#REF!</v>
      </c>
      <c r="G20" s="154" t="e">
        <f t="shared" ref="G20:W20" si="4">+F20+G19</f>
        <v>#REF!</v>
      </c>
      <c r="H20" s="154" t="e">
        <f t="shared" si="4"/>
        <v>#REF!</v>
      </c>
      <c r="I20" s="154" t="e">
        <f t="shared" si="4"/>
        <v>#REF!</v>
      </c>
      <c r="J20" s="154" t="e">
        <f t="shared" si="4"/>
        <v>#REF!</v>
      </c>
      <c r="K20" s="154" t="e">
        <f t="shared" si="4"/>
        <v>#REF!</v>
      </c>
      <c r="L20" s="154" t="e">
        <f t="shared" si="4"/>
        <v>#REF!</v>
      </c>
      <c r="M20" s="154" t="e">
        <f t="shared" si="4"/>
        <v>#REF!</v>
      </c>
      <c r="N20" s="154" t="e">
        <f t="shared" si="4"/>
        <v>#REF!</v>
      </c>
      <c r="O20" s="154" t="e">
        <f t="shared" si="4"/>
        <v>#REF!</v>
      </c>
      <c r="P20" s="154" t="e">
        <f t="shared" si="4"/>
        <v>#REF!</v>
      </c>
      <c r="Q20" s="154" t="e">
        <f t="shared" si="4"/>
        <v>#REF!</v>
      </c>
      <c r="R20" s="154" t="e">
        <f t="shared" si="4"/>
        <v>#REF!</v>
      </c>
      <c r="S20" s="154" t="e">
        <f t="shared" si="4"/>
        <v>#REF!</v>
      </c>
      <c r="T20" s="154" t="e">
        <f t="shared" si="4"/>
        <v>#REF!</v>
      </c>
      <c r="U20" s="154" t="e">
        <f t="shared" si="4"/>
        <v>#REF!</v>
      </c>
      <c r="V20" s="154" t="e">
        <f t="shared" si="4"/>
        <v>#REF!</v>
      </c>
      <c r="W20" s="154" t="e">
        <f t="shared" si="4"/>
        <v>#REF!</v>
      </c>
      <c r="X20" s="108"/>
      <c r="Y20" s="71"/>
    </row>
    <row r="21" spans="1:25" ht="30" customHeight="1" x14ac:dyDescent="0.2">
      <c r="A21" s="151"/>
      <c r="B21" s="151"/>
      <c r="C21" s="151"/>
      <c r="D21" s="151"/>
      <c r="E21" s="199" t="s">
        <v>144</v>
      </c>
      <c r="F21" s="113" t="e">
        <f t="shared" ref="F21:Q21" si="5">+F19/$E$18</f>
        <v>#REF!</v>
      </c>
      <c r="G21" s="113" t="e">
        <f t="shared" si="5"/>
        <v>#REF!</v>
      </c>
      <c r="H21" s="113" t="e">
        <f t="shared" si="5"/>
        <v>#REF!</v>
      </c>
      <c r="I21" s="113" t="e">
        <f t="shared" si="5"/>
        <v>#REF!</v>
      </c>
      <c r="J21" s="113" t="e">
        <f t="shared" si="5"/>
        <v>#REF!</v>
      </c>
      <c r="K21" s="113" t="e">
        <f t="shared" si="5"/>
        <v>#REF!</v>
      </c>
      <c r="L21" s="113" t="e">
        <f t="shared" si="5"/>
        <v>#REF!</v>
      </c>
      <c r="M21" s="113" t="e">
        <f t="shared" si="5"/>
        <v>#REF!</v>
      </c>
      <c r="N21" s="113" t="e">
        <f t="shared" si="5"/>
        <v>#REF!</v>
      </c>
      <c r="O21" s="113" t="e">
        <f t="shared" si="5"/>
        <v>#REF!</v>
      </c>
      <c r="P21" s="113" t="e">
        <f t="shared" si="5"/>
        <v>#REF!</v>
      </c>
      <c r="Q21" s="113" t="e">
        <f t="shared" si="5"/>
        <v>#REF!</v>
      </c>
      <c r="R21" s="113" t="e">
        <f t="shared" ref="R21:W21" si="6">+R19/$E$18</f>
        <v>#REF!</v>
      </c>
      <c r="S21" s="113" t="e">
        <f t="shared" si="6"/>
        <v>#REF!</v>
      </c>
      <c r="T21" s="113" t="e">
        <f t="shared" si="6"/>
        <v>#REF!</v>
      </c>
      <c r="U21" s="113" t="e">
        <f t="shared" si="6"/>
        <v>#REF!</v>
      </c>
      <c r="V21" s="113" t="e">
        <f t="shared" si="6"/>
        <v>#REF!</v>
      </c>
      <c r="W21" s="113" t="e">
        <f t="shared" si="6"/>
        <v>#REF!</v>
      </c>
      <c r="X21" s="108"/>
    </row>
    <row r="22" spans="1:25" ht="30" customHeight="1" x14ac:dyDescent="0.2">
      <c r="A22" s="151"/>
      <c r="B22" s="151"/>
      <c r="C22" s="151"/>
      <c r="D22" s="151"/>
      <c r="E22" s="200" t="s">
        <v>145</v>
      </c>
      <c r="F22" s="113" t="e">
        <f>+F21</f>
        <v>#REF!</v>
      </c>
      <c r="G22" s="113" t="e">
        <f t="shared" ref="G22:W22" si="7">+F22+G21</f>
        <v>#REF!</v>
      </c>
      <c r="H22" s="113" t="e">
        <f t="shared" si="7"/>
        <v>#REF!</v>
      </c>
      <c r="I22" s="113" t="e">
        <f t="shared" si="7"/>
        <v>#REF!</v>
      </c>
      <c r="J22" s="113" t="e">
        <f t="shared" si="7"/>
        <v>#REF!</v>
      </c>
      <c r="K22" s="113" t="e">
        <f t="shared" si="7"/>
        <v>#REF!</v>
      </c>
      <c r="L22" s="113" t="e">
        <f t="shared" si="7"/>
        <v>#REF!</v>
      </c>
      <c r="M22" s="113" t="e">
        <f t="shared" si="7"/>
        <v>#REF!</v>
      </c>
      <c r="N22" s="113" t="e">
        <f t="shared" si="7"/>
        <v>#REF!</v>
      </c>
      <c r="O22" s="113" t="e">
        <f t="shared" si="7"/>
        <v>#REF!</v>
      </c>
      <c r="P22" s="113" t="e">
        <f t="shared" si="7"/>
        <v>#REF!</v>
      </c>
      <c r="Q22" s="113" t="e">
        <f t="shared" si="7"/>
        <v>#REF!</v>
      </c>
      <c r="R22" s="113" t="e">
        <f t="shared" si="7"/>
        <v>#REF!</v>
      </c>
      <c r="S22" s="113" t="e">
        <f t="shared" si="7"/>
        <v>#REF!</v>
      </c>
      <c r="T22" s="113" t="e">
        <f t="shared" si="7"/>
        <v>#REF!</v>
      </c>
      <c r="U22" s="113" t="e">
        <f t="shared" si="7"/>
        <v>#REF!</v>
      </c>
      <c r="V22" s="113" t="e">
        <f t="shared" si="7"/>
        <v>#REF!</v>
      </c>
      <c r="W22" s="113" t="e">
        <f t="shared" si="7"/>
        <v>#REF!</v>
      </c>
      <c r="X22" s="108"/>
    </row>
    <row r="23" spans="1:25" ht="12.75" customHeight="1" x14ac:dyDescent="0.2"/>
    <row r="24" spans="1:25" ht="12.75" customHeight="1" x14ac:dyDescent="0.2"/>
    <row r="25" spans="1:25" ht="12.75" customHeight="1" x14ac:dyDescent="0.2">
      <c r="E25" s="122"/>
      <c r="Q25" s="59"/>
      <c r="R25" s="59"/>
      <c r="S25" s="59"/>
      <c r="T25" s="59"/>
      <c r="U25" s="59"/>
      <c r="V25" s="59"/>
      <c r="W25" s="59"/>
    </row>
    <row r="26" spans="1:25" ht="12.75" customHeight="1" x14ac:dyDescent="0.2"/>
    <row r="27" spans="1:25" ht="12.75" customHeight="1" x14ac:dyDescent="0.2"/>
    <row r="28" spans="1:25" ht="12.75" customHeight="1" x14ac:dyDescent="0.2"/>
    <row r="29" spans="1:25" ht="12.75" customHeight="1" x14ac:dyDescent="0.2"/>
    <row r="30" spans="1:25" ht="12.75" customHeight="1" x14ac:dyDescent="0.2"/>
    <row r="31" spans="1:25" ht="12.75" customHeight="1" x14ac:dyDescent="0.2"/>
    <row r="32" spans="1:2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mergeCells count="1">
    <mergeCell ref="A18:D18"/>
  </mergeCells>
  <phoneticPr fontId="11" type="noConversion"/>
  <printOptions horizontalCentered="1"/>
  <pageMargins left="0.70866141732283472" right="0.70866141732283472" top="0.74803149606299213" bottom="0.74803149606299213" header="0" footer="0"/>
  <pageSetup paperSize="8" scale="59" orientation="landscape" r:id="rId1"/>
  <headerFooter>
    <oddFooter>&amp;CPágina &amp;P 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view="pageBreakPreview" topLeftCell="A2" zoomScale="90" zoomScaleSheetLayoutView="90" workbookViewId="0">
      <selection activeCell="F25" sqref="F25"/>
    </sheetView>
  </sheetViews>
  <sheetFormatPr defaultColWidth="12.5703125" defaultRowHeight="12.75" x14ac:dyDescent="0.2"/>
  <cols>
    <col min="1" max="1" width="16.7109375" style="260" customWidth="1"/>
    <col min="2" max="3" width="16.7109375" style="218" customWidth="1"/>
    <col min="4" max="4" width="5.7109375" customWidth="1"/>
    <col min="5" max="5" width="70.7109375" customWidth="1"/>
    <col min="6" max="6" width="10.7109375" customWidth="1"/>
    <col min="7" max="7" width="17.7109375" style="230" customWidth="1"/>
    <col min="8" max="8" width="17.7109375" style="229" customWidth="1"/>
    <col min="9" max="10" width="17.7109375" style="230" customWidth="1"/>
    <col min="11" max="11" width="9.140625" customWidth="1"/>
    <col min="12" max="12" width="4.42578125" customWidth="1"/>
    <col min="13" max="13" width="20.7109375" customWidth="1"/>
    <col min="14" max="14" width="9.140625" customWidth="1"/>
    <col min="15" max="15" width="10.7109375" customWidth="1"/>
  </cols>
  <sheetData>
    <row r="1" spans="1:15" ht="18.399999999999999" customHeight="1" x14ac:dyDescent="0.2">
      <c r="A1" s="256" t="s">
        <v>0</v>
      </c>
      <c r="B1" s="331" t="s">
        <v>1</v>
      </c>
      <c r="C1" s="352"/>
      <c r="D1" s="312"/>
      <c r="E1" s="313"/>
      <c r="F1" s="322" t="s">
        <v>2</v>
      </c>
      <c r="G1" s="342"/>
      <c r="H1" s="342"/>
      <c r="I1" s="342"/>
      <c r="J1" s="343"/>
      <c r="K1" s="11"/>
      <c r="L1" s="11"/>
      <c r="M1" s="11"/>
      <c r="N1" s="11"/>
      <c r="O1" s="11"/>
    </row>
    <row r="2" spans="1:15" ht="18.399999999999999" customHeight="1" x14ac:dyDescent="0.2">
      <c r="A2" s="256" t="s">
        <v>3</v>
      </c>
      <c r="B2" s="331" t="s">
        <v>4</v>
      </c>
      <c r="C2" s="352"/>
      <c r="D2" s="312"/>
      <c r="E2" s="313"/>
      <c r="F2" s="344"/>
      <c r="G2" s="345"/>
      <c r="H2" s="345"/>
      <c r="I2" s="345"/>
      <c r="J2" s="346"/>
      <c r="K2" s="11"/>
      <c r="L2" s="11"/>
      <c r="M2" s="11"/>
      <c r="N2" s="11"/>
      <c r="O2" s="11"/>
    </row>
    <row r="3" spans="1:15" ht="18" customHeight="1" x14ac:dyDescent="0.2">
      <c r="A3" s="256" t="s">
        <v>5</v>
      </c>
      <c r="B3" s="328" t="s">
        <v>6</v>
      </c>
      <c r="C3" s="353"/>
      <c r="D3" s="312"/>
      <c r="E3" s="313"/>
      <c r="F3" s="344"/>
      <c r="G3" s="345"/>
      <c r="H3" s="345"/>
      <c r="I3" s="345"/>
      <c r="J3" s="346"/>
      <c r="K3" s="11"/>
      <c r="L3" s="11"/>
      <c r="M3" s="11"/>
      <c r="N3" s="11"/>
      <c r="O3" s="11"/>
    </row>
    <row r="4" spans="1:15" ht="18.399999999999999" customHeight="1" x14ac:dyDescent="0.2">
      <c r="A4" s="257" t="s">
        <v>7</v>
      </c>
      <c r="B4" s="321"/>
      <c r="C4" s="338"/>
      <c r="D4" s="312"/>
      <c r="E4" s="313"/>
      <c r="F4" s="347"/>
      <c r="G4" s="348"/>
      <c r="H4" s="348"/>
      <c r="I4" s="348"/>
      <c r="J4" s="349"/>
      <c r="K4" s="11"/>
      <c r="L4" s="11"/>
      <c r="M4" s="11"/>
      <c r="N4" s="11"/>
      <c r="O4" s="11"/>
    </row>
    <row r="5" spans="1:15" ht="18.399999999999999" customHeight="1" x14ac:dyDescent="0.2">
      <c r="A5" s="350" t="s">
        <v>8</v>
      </c>
      <c r="B5" s="312"/>
      <c r="C5" s="351"/>
      <c r="D5" s="312"/>
      <c r="E5" s="312"/>
      <c r="F5" s="312"/>
      <c r="G5" s="312"/>
      <c r="H5" s="312"/>
      <c r="I5" s="312"/>
      <c r="J5" s="313"/>
      <c r="K5" s="11"/>
      <c r="L5" s="11"/>
      <c r="M5" s="11"/>
      <c r="N5" s="11"/>
      <c r="O5" s="11"/>
    </row>
    <row r="6" spans="1:15" ht="18.399999999999999" customHeight="1" x14ac:dyDescent="0.2">
      <c r="A6" s="339" t="s">
        <v>684</v>
      </c>
      <c r="B6" s="340"/>
      <c r="C6" s="340"/>
      <c r="D6" s="340"/>
      <c r="E6" s="323"/>
      <c r="F6" s="332" t="s">
        <v>9</v>
      </c>
      <c r="G6" s="312"/>
      <c r="H6" s="313"/>
      <c r="I6" s="227" t="s">
        <v>1140</v>
      </c>
      <c r="J6" s="354"/>
      <c r="K6" s="11"/>
      <c r="L6" s="11"/>
      <c r="M6" s="11"/>
      <c r="N6" s="11"/>
      <c r="O6" s="11"/>
    </row>
    <row r="7" spans="1:15" ht="18.399999999999999" customHeight="1" x14ac:dyDescent="0.2">
      <c r="A7" s="324"/>
      <c r="B7" s="316"/>
      <c r="C7" s="316"/>
      <c r="D7" s="316"/>
      <c r="E7" s="325"/>
      <c r="F7" s="332" t="s">
        <v>10</v>
      </c>
      <c r="G7" s="312"/>
      <c r="H7" s="313"/>
      <c r="I7" s="253">
        <f>BDI!C20</f>
        <v>0.30049999999999999</v>
      </c>
      <c r="J7" s="355"/>
      <c r="K7" s="11"/>
      <c r="L7" s="11"/>
      <c r="M7" s="11"/>
      <c r="N7" s="11"/>
      <c r="O7" s="11"/>
    </row>
    <row r="8" spans="1:15" ht="18.399999999999999" customHeight="1" x14ac:dyDescent="0.2">
      <c r="A8" s="326"/>
      <c r="B8" s="341"/>
      <c r="C8" s="341"/>
      <c r="D8" s="341"/>
      <c r="E8" s="327"/>
      <c r="F8" s="314" t="s">
        <v>11</v>
      </c>
      <c r="G8" s="312"/>
      <c r="H8" s="313"/>
      <c r="I8" s="253">
        <f>BDI!G20</f>
        <v>0.19900000000000001</v>
      </c>
      <c r="J8" s="356"/>
      <c r="K8" s="11"/>
      <c r="L8" s="11"/>
      <c r="M8" s="11"/>
      <c r="N8" s="11"/>
      <c r="O8" s="11"/>
    </row>
    <row r="9" spans="1:15" ht="30" x14ac:dyDescent="0.2">
      <c r="A9" s="258" t="s">
        <v>12</v>
      </c>
      <c r="B9" s="245" t="s">
        <v>39</v>
      </c>
      <c r="C9" s="245" t="s">
        <v>299</v>
      </c>
      <c r="D9" s="245" t="s">
        <v>24</v>
      </c>
      <c r="E9" s="246" t="s">
        <v>25</v>
      </c>
      <c r="F9" s="226" t="s">
        <v>26</v>
      </c>
      <c r="G9" s="247" t="s">
        <v>27</v>
      </c>
      <c r="H9" s="248" t="s">
        <v>28</v>
      </c>
      <c r="I9" s="248" t="s">
        <v>29</v>
      </c>
      <c r="J9" s="248" t="s">
        <v>30</v>
      </c>
      <c r="K9" s="11"/>
      <c r="L9" s="11"/>
      <c r="M9" s="11"/>
      <c r="N9" s="11"/>
      <c r="O9" s="11"/>
    </row>
    <row r="10" spans="1:15" s="165" customFormat="1" ht="15" x14ac:dyDescent="0.2">
      <c r="A10" s="281">
        <v>1</v>
      </c>
      <c r="B10" s="271"/>
      <c r="C10" s="271"/>
      <c r="D10" s="271"/>
      <c r="E10" s="272" t="s">
        <v>686</v>
      </c>
      <c r="F10" s="271"/>
      <c r="G10" s="273"/>
      <c r="H10" s="274"/>
      <c r="I10" s="275"/>
      <c r="J10" s="275">
        <f>SUBTOTAL(9,J11:J30)</f>
        <v>359918.83</v>
      </c>
      <c r="K10" s="11"/>
      <c r="L10" s="11"/>
      <c r="M10" s="11"/>
      <c r="N10" s="11"/>
      <c r="O10" s="11"/>
    </row>
    <row r="11" spans="1:15" s="164" customFormat="1" x14ac:dyDescent="0.2">
      <c r="A11" s="282" t="s">
        <v>31</v>
      </c>
      <c r="B11" s="276"/>
      <c r="C11" s="276"/>
      <c r="D11" s="276"/>
      <c r="E11" s="277" t="s">
        <v>91</v>
      </c>
      <c r="F11" s="276"/>
      <c r="G11" s="278"/>
      <c r="H11" s="279"/>
      <c r="I11" s="280"/>
      <c r="J11" s="280">
        <f>SUBTOTAL(9,J12:J17)</f>
        <v>124524.38999999998</v>
      </c>
      <c r="K11" s="11"/>
      <c r="L11" s="11"/>
      <c r="M11" s="11"/>
      <c r="N11" s="11"/>
      <c r="O11" s="11"/>
    </row>
    <row r="12" spans="1:15" ht="38.25" x14ac:dyDescent="0.2">
      <c r="A12" s="266" t="s">
        <v>701</v>
      </c>
      <c r="B12" s="305">
        <v>98525</v>
      </c>
      <c r="C12" s="220" t="s">
        <v>1132</v>
      </c>
      <c r="D12" s="210" t="s">
        <v>32</v>
      </c>
      <c r="E12" s="211" t="s">
        <v>146</v>
      </c>
      <c r="F12" s="209" t="s">
        <v>92</v>
      </c>
      <c r="G12" s="235">
        <v>3600</v>
      </c>
      <c r="H12" s="212">
        <v>0.32</v>
      </c>
      <c r="I12" s="212">
        <f t="shared" ref="I12:I17" si="0">ROUND(IF(D12="S",(H12*(1+$I$7)),(H12*(1+$I$8))),2)</f>
        <v>0.42</v>
      </c>
      <c r="J12" s="212">
        <f t="shared" ref="J12:J17" si="1">ROUND(G12*I12,2)</f>
        <v>1512</v>
      </c>
      <c r="K12" s="11"/>
      <c r="L12" s="11"/>
      <c r="M12" s="11"/>
      <c r="N12" s="47"/>
      <c r="O12" s="11"/>
    </row>
    <row r="13" spans="1:15" s="165" customFormat="1" ht="25.5" x14ac:dyDescent="0.2">
      <c r="A13" s="266" t="s">
        <v>702</v>
      </c>
      <c r="B13" s="305">
        <v>99059</v>
      </c>
      <c r="C13" s="220" t="s">
        <v>1132</v>
      </c>
      <c r="D13" s="210" t="s">
        <v>32</v>
      </c>
      <c r="E13" s="211" t="s">
        <v>150</v>
      </c>
      <c r="F13" s="209" t="s">
        <v>35</v>
      </c>
      <c r="G13" s="235">
        <f>(60*2)+(60*2)</f>
        <v>240</v>
      </c>
      <c r="H13" s="212">
        <v>48.01</v>
      </c>
      <c r="I13" s="212">
        <f t="shared" si="0"/>
        <v>62.44</v>
      </c>
      <c r="J13" s="212">
        <f t="shared" si="1"/>
        <v>14985.6</v>
      </c>
      <c r="K13" s="11"/>
      <c r="L13" s="11"/>
      <c r="M13" s="11"/>
      <c r="N13" s="47"/>
      <c r="O13" s="11"/>
    </row>
    <row r="14" spans="1:15" x14ac:dyDescent="0.2">
      <c r="A14" s="266" t="s">
        <v>703</v>
      </c>
      <c r="B14" s="220">
        <v>10004</v>
      </c>
      <c r="C14" s="220" t="s">
        <v>1139</v>
      </c>
      <c r="D14" s="210" t="s">
        <v>32</v>
      </c>
      <c r="E14" s="211" t="s">
        <v>1029</v>
      </c>
      <c r="F14" s="209" t="s">
        <v>674</v>
      </c>
      <c r="G14" s="235">
        <v>16</v>
      </c>
      <c r="H14" s="212">
        <v>411.68</v>
      </c>
      <c r="I14" s="212">
        <f t="shared" si="0"/>
        <v>535.39</v>
      </c>
      <c r="J14" s="212">
        <f t="shared" si="1"/>
        <v>8566.24</v>
      </c>
      <c r="K14" s="11"/>
      <c r="L14" s="11"/>
      <c r="M14" s="11"/>
      <c r="N14" s="11"/>
      <c r="O14" s="11"/>
    </row>
    <row r="15" spans="1:15" s="165" customFormat="1" ht="25.5" x14ac:dyDescent="0.2">
      <c r="A15" s="266" t="s">
        <v>738</v>
      </c>
      <c r="B15" s="220" t="s">
        <v>1077</v>
      </c>
      <c r="C15" s="220" t="s">
        <v>44</v>
      </c>
      <c r="D15" s="210" t="s">
        <v>32</v>
      </c>
      <c r="E15" s="211" t="s">
        <v>1078</v>
      </c>
      <c r="F15" s="209" t="s">
        <v>37</v>
      </c>
      <c r="G15" s="235">
        <v>1</v>
      </c>
      <c r="H15" s="212">
        <v>2255.3200000000002</v>
      </c>
      <c r="I15" s="212">
        <f t="shared" si="0"/>
        <v>2933.04</v>
      </c>
      <c r="J15" s="212">
        <f t="shared" si="1"/>
        <v>2933.04</v>
      </c>
      <c r="K15" s="11"/>
      <c r="L15" s="11"/>
      <c r="M15" s="11"/>
      <c r="N15" s="47"/>
      <c r="O15" s="11"/>
    </row>
    <row r="16" spans="1:15" s="165" customFormat="1" ht="38.25" x14ac:dyDescent="0.2">
      <c r="A16" s="266" t="s">
        <v>704</v>
      </c>
      <c r="B16" s="220">
        <v>6090</v>
      </c>
      <c r="C16" s="220" t="s">
        <v>365</v>
      </c>
      <c r="D16" s="210" t="s">
        <v>32</v>
      </c>
      <c r="E16" s="211" t="s">
        <v>683</v>
      </c>
      <c r="F16" s="209" t="s">
        <v>45</v>
      </c>
      <c r="G16" s="235">
        <v>1</v>
      </c>
      <c r="H16" s="212">
        <v>1070.9100000000001</v>
      </c>
      <c r="I16" s="212">
        <f t="shared" si="0"/>
        <v>1392.72</v>
      </c>
      <c r="J16" s="212">
        <f t="shared" si="1"/>
        <v>1392.72</v>
      </c>
      <c r="K16" s="11"/>
      <c r="L16" s="11"/>
      <c r="M16" s="11"/>
      <c r="N16" s="47"/>
      <c r="O16" s="11"/>
    </row>
    <row r="17" spans="1:15" s="174" customFormat="1" x14ac:dyDescent="0.2">
      <c r="A17" s="266" t="s">
        <v>753</v>
      </c>
      <c r="B17" s="220">
        <v>36</v>
      </c>
      <c r="C17" s="220" t="s">
        <v>44</v>
      </c>
      <c r="D17" s="210" t="s">
        <v>32</v>
      </c>
      <c r="E17" s="211" t="s">
        <v>752</v>
      </c>
      <c r="F17" s="209" t="s">
        <v>45</v>
      </c>
      <c r="G17" s="235">
        <v>1</v>
      </c>
      <c r="H17" s="212">
        <v>73152.47</v>
      </c>
      <c r="I17" s="212">
        <f t="shared" si="0"/>
        <v>95134.79</v>
      </c>
      <c r="J17" s="212">
        <f t="shared" si="1"/>
        <v>95134.79</v>
      </c>
      <c r="K17" s="11"/>
      <c r="L17" s="11"/>
      <c r="M17" s="11"/>
      <c r="N17" s="47"/>
      <c r="O17" s="11"/>
    </row>
    <row r="18" spans="1:15" s="165" customFormat="1" x14ac:dyDescent="0.2">
      <c r="A18" s="282" t="s">
        <v>33</v>
      </c>
      <c r="B18" s="276"/>
      <c r="C18" s="276"/>
      <c r="D18" s="276"/>
      <c r="E18" s="277" t="s">
        <v>685</v>
      </c>
      <c r="F18" s="276"/>
      <c r="G18" s="278"/>
      <c r="H18" s="279">
        <v>0</v>
      </c>
      <c r="I18" s="280"/>
      <c r="J18" s="280">
        <f>SUBTOTAL(9,J19:J30)</f>
        <v>235394.44</v>
      </c>
      <c r="K18" s="11"/>
      <c r="L18" s="11"/>
      <c r="M18" s="11"/>
      <c r="N18" s="47"/>
      <c r="O18" s="11"/>
    </row>
    <row r="19" spans="1:15" ht="31.5" customHeight="1" x14ac:dyDescent="0.2">
      <c r="A19" s="266" t="s">
        <v>705</v>
      </c>
      <c r="B19" s="220">
        <v>93207</v>
      </c>
      <c r="C19" s="220" t="s">
        <v>1132</v>
      </c>
      <c r="D19" s="210" t="s">
        <v>32</v>
      </c>
      <c r="E19" s="211" t="s">
        <v>1146</v>
      </c>
      <c r="F19" s="209" t="s">
        <v>674</v>
      </c>
      <c r="G19" s="235">
        <f>8*4.5</f>
        <v>36</v>
      </c>
      <c r="H19" s="212">
        <v>1036.54</v>
      </c>
      <c r="I19" s="212">
        <f t="shared" ref="I19:I30" si="2">ROUND(IF(D19="S",(H19*(1+$I$7)),(H19*(1+$I$8))),2)</f>
        <v>1348.02</v>
      </c>
      <c r="J19" s="212">
        <f t="shared" ref="J19:J30" si="3">ROUND(G19*I19,2)</f>
        <v>48528.72</v>
      </c>
      <c r="K19" s="48"/>
      <c r="L19" s="11"/>
      <c r="M19" s="49"/>
      <c r="N19" s="50"/>
      <c r="O19" s="51"/>
    </row>
    <row r="20" spans="1:15" s="308" customFormat="1" ht="31.5" customHeight="1" x14ac:dyDescent="0.2">
      <c r="A20" s="266" t="s">
        <v>706</v>
      </c>
      <c r="B20" s="220">
        <v>93210</v>
      </c>
      <c r="C20" s="220" t="s">
        <v>1132</v>
      </c>
      <c r="D20" s="210" t="s">
        <v>32</v>
      </c>
      <c r="E20" s="211" t="s">
        <v>1141</v>
      </c>
      <c r="F20" s="209" t="s">
        <v>674</v>
      </c>
      <c r="G20" s="235">
        <f>5*10</f>
        <v>50</v>
      </c>
      <c r="H20" s="212">
        <v>573.64</v>
      </c>
      <c r="I20" s="212">
        <f>ROUND(IF(D20="S",(H20*(1+$I$7)),(H20*(1+$I$8))),2)</f>
        <v>746.02</v>
      </c>
      <c r="J20" s="212">
        <f>ROUND(G20*I20,2)</f>
        <v>37301</v>
      </c>
      <c r="K20" s="48"/>
      <c r="L20" s="11"/>
      <c r="M20" s="49"/>
      <c r="N20" s="50"/>
      <c r="O20" s="51"/>
    </row>
    <row r="21" spans="1:15" s="308" customFormat="1" ht="24.75" customHeight="1" x14ac:dyDescent="0.2">
      <c r="A21" s="266" t="s">
        <v>707</v>
      </c>
      <c r="B21" s="220">
        <v>93212</v>
      </c>
      <c r="C21" s="220" t="s">
        <v>1132</v>
      </c>
      <c r="D21" s="210" t="s">
        <v>32</v>
      </c>
      <c r="E21" s="211" t="s">
        <v>1142</v>
      </c>
      <c r="F21" s="209" t="s">
        <v>674</v>
      </c>
      <c r="G21" s="235">
        <f>3*10</f>
        <v>30</v>
      </c>
      <c r="H21" s="212">
        <v>950.41</v>
      </c>
      <c r="I21" s="212">
        <f>ROUND(IF(D21="S",(H21*(1+$I$7)),(H21*(1+$I$8))),2)</f>
        <v>1236.01</v>
      </c>
      <c r="J21" s="212">
        <f>ROUND(G21*I21,2)</f>
        <v>37080.300000000003</v>
      </c>
      <c r="K21" s="48"/>
      <c r="L21" s="11"/>
      <c r="M21" s="49"/>
      <c r="N21" s="50"/>
      <c r="O21" s="51"/>
    </row>
    <row r="22" spans="1:15" s="308" customFormat="1" ht="24.75" customHeight="1" x14ac:dyDescent="0.2">
      <c r="A22" s="266" t="s">
        <v>708</v>
      </c>
      <c r="B22" s="220">
        <v>93208</v>
      </c>
      <c r="C22" s="220" t="s">
        <v>1132</v>
      </c>
      <c r="D22" s="210" t="s">
        <v>32</v>
      </c>
      <c r="E22" s="211" t="s">
        <v>1143</v>
      </c>
      <c r="F22" s="209" t="s">
        <v>674</v>
      </c>
      <c r="G22" s="235">
        <f>8*5.5</f>
        <v>44</v>
      </c>
      <c r="H22" s="212">
        <v>842.58</v>
      </c>
      <c r="I22" s="212">
        <f>ROUND(IF(D22="S",(H22*(1+$I$7)),(H22*(1+$I$8))),2)</f>
        <v>1095.78</v>
      </c>
      <c r="J22" s="212">
        <f>ROUND(G22*I22,2)</f>
        <v>48214.32</v>
      </c>
      <c r="K22" s="48"/>
      <c r="L22" s="11"/>
      <c r="M22" s="49"/>
      <c r="N22" s="50"/>
      <c r="O22" s="51"/>
    </row>
    <row r="23" spans="1:15" s="310" customFormat="1" ht="24.75" customHeight="1" x14ac:dyDescent="0.2">
      <c r="A23" s="266" t="s">
        <v>709</v>
      </c>
      <c r="B23" s="220">
        <v>93214</v>
      </c>
      <c r="C23" s="220" t="s">
        <v>1149</v>
      </c>
      <c r="D23" s="210" t="s">
        <v>32</v>
      </c>
      <c r="E23" s="211" t="s">
        <v>1150</v>
      </c>
      <c r="F23" s="209" t="s">
        <v>45</v>
      </c>
      <c r="G23" s="235">
        <v>1</v>
      </c>
      <c r="H23" s="212">
        <v>5166.0600000000004</v>
      </c>
      <c r="I23" s="212">
        <f>ROUND(IF(D23="S",(H23*(1+$I$7)),(H23*(1+$I$8))),2)</f>
        <v>6718.46</v>
      </c>
      <c r="J23" s="212">
        <f>ROUND(G23*I23,2)</f>
        <v>6718.46</v>
      </c>
      <c r="K23" s="48"/>
      <c r="L23" s="11"/>
      <c r="M23" s="49"/>
      <c r="N23" s="50"/>
      <c r="O23" s="51"/>
    </row>
    <row r="24" spans="1:15" s="165" customFormat="1" ht="25.5" x14ac:dyDescent="0.2">
      <c r="A24" s="266" t="s">
        <v>710</v>
      </c>
      <c r="B24" s="220">
        <v>98680</v>
      </c>
      <c r="C24" s="220" t="s">
        <v>1132</v>
      </c>
      <c r="D24" s="210" t="s">
        <v>32</v>
      </c>
      <c r="E24" s="211" t="s">
        <v>676</v>
      </c>
      <c r="F24" s="209" t="s">
        <v>674</v>
      </c>
      <c r="G24" s="235">
        <f>G20</f>
        <v>50</v>
      </c>
      <c r="H24" s="212">
        <v>42.01</v>
      </c>
      <c r="I24" s="212">
        <f t="shared" si="2"/>
        <v>54.63</v>
      </c>
      <c r="J24" s="212">
        <f t="shared" si="3"/>
        <v>2731.5</v>
      </c>
      <c r="K24" s="11"/>
      <c r="L24" s="11"/>
      <c r="M24" s="11"/>
      <c r="N24" s="11"/>
      <c r="O24" s="11"/>
    </row>
    <row r="25" spans="1:15" s="165" customFormat="1" ht="38.25" x14ac:dyDescent="0.2">
      <c r="A25" s="266" t="s">
        <v>1147</v>
      </c>
      <c r="B25" s="220">
        <v>94992</v>
      </c>
      <c r="C25" s="220" t="s">
        <v>1132</v>
      </c>
      <c r="D25" s="210" t="s">
        <v>32</v>
      </c>
      <c r="E25" s="211" t="s">
        <v>677</v>
      </c>
      <c r="F25" s="209" t="s">
        <v>674</v>
      </c>
      <c r="G25" s="235">
        <v>66</v>
      </c>
      <c r="H25" s="212">
        <v>92</v>
      </c>
      <c r="I25" s="212">
        <f t="shared" si="2"/>
        <v>119.65</v>
      </c>
      <c r="J25" s="212">
        <f t="shared" si="3"/>
        <v>7896.9</v>
      </c>
      <c r="K25" s="11"/>
      <c r="L25" s="11"/>
      <c r="M25" s="11"/>
      <c r="N25" s="11"/>
      <c r="O25" s="11"/>
    </row>
    <row r="26" spans="1:15" s="165" customFormat="1" ht="38.25" x14ac:dyDescent="0.2">
      <c r="A26" s="266" t="s">
        <v>711</v>
      </c>
      <c r="B26" s="220">
        <v>98053</v>
      </c>
      <c r="C26" s="220" t="s">
        <v>1132</v>
      </c>
      <c r="D26" s="210" t="s">
        <v>32</v>
      </c>
      <c r="E26" s="211" t="s">
        <v>678</v>
      </c>
      <c r="F26" s="209" t="s">
        <v>45</v>
      </c>
      <c r="G26" s="235">
        <v>2</v>
      </c>
      <c r="H26" s="212">
        <v>2374.34</v>
      </c>
      <c r="I26" s="212">
        <f t="shared" si="2"/>
        <v>3087.83</v>
      </c>
      <c r="J26" s="212">
        <f t="shared" si="3"/>
        <v>6175.66</v>
      </c>
      <c r="K26" s="11"/>
      <c r="L26" s="11"/>
      <c r="M26" s="11"/>
      <c r="N26" s="11"/>
      <c r="O26" s="11"/>
    </row>
    <row r="27" spans="1:15" s="165" customFormat="1" ht="38.25" x14ac:dyDescent="0.2">
      <c r="A27" s="266" t="s">
        <v>712</v>
      </c>
      <c r="B27" s="220">
        <v>98101</v>
      </c>
      <c r="C27" s="220" t="s">
        <v>1132</v>
      </c>
      <c r="D27" s="210" t="s">
        <v>32</v>
      </c>
      <c r="E27" s="211" t="s">
        <v>679</v>
      </c>
      <c r="F27" s="209" t="s">
        <v>45</v>
      </c>
      <c r="G27" s="235">
        <v>2</v>
      </c>
      <c r="H27" s="212">
        <v>8435.44</v>
      </c>
      <c r="I27" s="212">
        <f t="shared" si="2"/>
        <v>10970.29</v>
      </c>
      <c r="J27" s="212">
        <f t="shared" si="3"/>
        <v>21940.58</v>
      </c>
      <c r="K27" s="11"/>
      <c r="L27" s="11"/>
      <c r="M27" s="11"/>
      <c r="N27" s="11"/>
      <c r="O27" s="11"/>
    </row>
    <row r="28" spans="1:15" s="165" customFormat="1" ht="38.25" x14ac:dyDescent="0.2">
      <c r="A28" s="266" t="s">
        <v>713</v>
      </c>
      <c r="B28" s="220">
        <v>100981</v>
      </c>
      <c r="C28" s="220" t="s">
        <v>1132</v>
      </c>
      <c r="D28" s="210" t="s">
        <v>32</v>
      </c>
      <c r="E28" s="211" t="s">
        <v>680</v>
      </c>
      <c r="F28" s="209" t="s">
        <v>366</v>
      </c>
      <c r="G28" s="235">
        <f>3600*0.05</f>
        <v>180</v>
      </c>
      <c r="H28" s="212">
        <v>7.72</v>
      </c>
      <c r="I28" s="212">
        <f t="shared" si="2"/>
        <v>10.039999999999999</v>
      </c>
      <c r="J28" s="212">
        <f t="shared" si="3"/>
        <v>1807.2</v>
      </c>
      <c r="K28" s="11"/>
      <c r="L28" s="11"/>
      <c r="M28" s="11"/>
      <c r="N28" s="11"/>
      <c r="O28" s="11"/>
    </row>
    <row r="29" spans="1:15" s="165" customFormat="1" ht="25.5" x14ac:dyDescent="0.2">
      <c r="A29" s="266" t="s">
        <v>1144</v>
      </c>
      <c r="B29" s="220">
        <v>97914</v>
      </c>
      <c r="C29" s="220" t="s">
        <v>1132</v>
      </c>
      <c r="D29" s="210" t="s">
        <v>32</v>
      </c>
      <c r="E29" s="211" t="s">
        <v>681</v>
      </c>
      <c r="F29" s="209" t="s">
        <v>682</v>
      </c>
      <c r="G29" s="235">
        <v>180</v>
      </c>
      <c r="H29" s="212">
        <v>2.39</v>
      </c>
      <c r="I29" s="212">
        <f t="shared" si="2"/>
        <v>3.11</v>
      </c>
      <c r="J29" s="212">
        <f t="shared" si="3"/>
        <v>559.79999999999995</v>
      </c>
      <c r="K29" s="11"/>
      <c r="L29" s="11"/>
      <c r="M29" s="11"/>
      <c r="N29" s="11"/>
      <c r="O29" s="11"/>
    </row>
    <row r="30" spans="1:15" s="165" customFormat="1" ht="38.25" x14ac:dyDescent="0.2">
      <c r="A30" s="266" t="s">
        <v>1148</v>
      </c>
      <c r="B30" s="220">
        <v>101193</v>
      </c>
      <c r="C30" s="220" t="s">
        <v>1132</v>
      </c>
      <c r="D30" s="210" t="s">
        <v>32</v>
      </c>
      <c r="E30" s="211" t="s">
        <v>147</v>
      </c>
      <c r="F30" s="209" t="s">
        <v>35</v>
      </c>
      <c r="G30" s="235">
        <v>240</v>
      </c>
      <c r="H30" s="212">
        <v>52.67</v>
      </c>
      <c r="I30" s="212">
        <f t="shared" si="2"/>
        <v>68.5</v>
      </c>
      <c r="J30" s="212">
        <f t="shared" si="3"/>
        <v>16440</v>
      </c>
      <c r="K30" s="11"/>
      <c r="L30" s="11"/>
      <c r="M30" s="11"/>
      <c r="N30" s="11"/>
      <c r="O30" s="11"/>
    </row>
    <row r="31" spans="1:15" x14ac:dyDescent="0.2">
      <c r="A31" s="259"/>
      <c r="B31" s="71"/>
      <c r="C31" s="71"/>
      <c r="D31" s="11"/>
      <c r="E31" s="11"/>
      <c r="F31" s="11"/>
      <c r="G31" s="228"/>
      <c r="I31" s="228"/>
      <c r="J31" s="228"/>
      <c r="K31" s="11"/>
      <c r="L31" s="11"/>
      <c r="M31" s="11"/>
      <c r="N31" s="11"/>
      <c r="O31" s="11"/>
    </row>
    <row r="32" spans="1:15" x14ac:dyDescent="0.2">
      <c r="A32" s="259"/>
      <c r="B32" s="71"/>
      <c r="C32" s="71"/>
      <c r="D32" s="11"/>
      <c r="E32" s="11"/>
      <c r="F32" s="11"/>
      <c r="G32" s="228"/>
      <c r="I32" s="228"/>
      <c r="J32" s="228"/>
      <c r="K32" s="11"/>
      <c r="L32" s="11"/>
      <c r="M32" s="11"/>
      <c r="N32" s="11"/>
      <c r="O32" s="11"/>
    </row>
    <row r="33" spans="1:15" x14ac:dyDescent="0.2">
      <c r="A33" s="259"/>
      <c r="B33" s="71"/>
      <c r="C33" s="71"/>
      <c r="D33" s="11"/>
      <c r="E33" s="11"/>
      <c r="F33" s="11"/>
      <c r="G33" s="228"/>
      <c r="I33" s="228"/>
      <c r="J33" s="228"/>
      <c r="K33" s="11"/>
      <c r="L33" s="11"/>
      <c r="M33" s="11"/>
      <c r="N33" s="11"/>
      <c r="O33" s="11"/>
    </row>
    <row r="34" spans="1:15" x14ac:dyDescent="0.2">
      <c r="A34" s="259"/>
      <c r="B34" s="71"/>
      <c r="C34" s="71"/>
      <c r="D34" s="11"/>
      <c r="E34" s="11"/>
      <c r="F34" s="11"/>
      <c r="G34" s="228"/>
      <c r="I34" s="228"/>
      <c r="J34" s="228"/>
      <c r="K34" s="11"/>
      <c r="L34" s="11"/>
      <c r="M34" s="11"/>
      <c r="N34" s="11"/>
      <c r="O34" s="11"/>
    </row>
    <row r="35" spans="1:15" x14ac:dyDescent="0.2">
      <c r="A35" s="259"/>
      <c r="B35" s="71"/>
      <c r="C35" s="71"/>
      <c r="D35" s="11"/>
      <c r="E35" s="11"/>
      <c r="F35" s="11"/>
      <c r="G35" s="228"/>
      <c r="I35" s="228"/>
      <c r="J35" s="228"/>
      <c r="K35" s="11"/>
      <c r="L35" s="11"/>
      <c r="M35" s="11"/>
      <c r="N35" s="11"/>
      <c r="O35" s="11"/>
    </row>
    <row r="36" spans="1:15" x14ac:dyDescent="0.2">
      <c r="A36" s="259"/>
      <c r="B36" s="71"/>
      <c r="C36" s="71"/>
      <c r="D36" s="11"/>
      <c r="E36" s="11"/>
      <c r="F36" s="11"/>
      <c r="G36" s="228"/>
      <c r="I36" s="228"/>
      <c r="J36" s="228"/>
      <c r="K36" s="11"/>
      <c r="L36" s="11"/>
      <c r="M36" s="11"/>
      <c r="N36" s="11"/>
      <c r="O36" s="11"/>
    </row>
    <row r="37" spans="1:15" x14ac:dyDescent="0.2">
      <c r="A37" s="259"/>
      <c r="B37" s="71"/>
      <c r="C37" s="71"/>
      <c r="D37" s="11"/>
      <c r="E37" s="11"/>
      <c r="F37" s="11"/>
      <c r="G37" s="228"/>
      <c r="I37" s="228"/>
      <c r="J37" s="228"/>
      <c r="K37" s="11"/>
      <c r="L37" s="11"/>
      <c r="M37" s="11"/>
      <c r="N37" s="11"/>
      <c r="O37" s="11"/>
    </row>
    <row r="38" spans="1:15" x14ac:dyDescent="0.2">
      <c r="A38" s="259"/>
      <c r="B38" s="71"/>
      <c r="C38" s="71"/>
      <c r="D38" s="11"/>
      <c r="E38" s="11"/>
      <c r="F38" s="11"/>
      <c r="G38" s="228"/>
      <c r="I38" s="228"/>
      <c r="J38" s="228"/>
      <c r="K38" s="11"/>
      <c r="L38" s="11"/>
      <c r="M38" s="11"/>
      <c r="N38" s="11"/>
      <c r="O38" s="11"/>
    </row>
    <row r="39" spans="1:15" x14ac:dyDescent="0.2">
      <c r="A39" s="259"/>
      <c r="B39" s="71"/>
      <c r="C39" s="71"/>
      <c r="D39" s="11"/>
      <c r="E39" s="11"/>
      <c r="F39" s="11"/>
      <c r="G39" s="228"/>
      <c r="I39" s="228"/>
      <c r="J39" s="228"/>
      <c r="K39" s="11"/>
      <c r="L39" s="11"/>
      <c r="M39" s="11"/>
      <c r="N39" s="11"/>
      <c r="O39" s="11"/>
    </row>
    <row r="40" spans="1:15" x14ac:dyDescent="0.2">
      <c r="A40" s="259"/>
      <c r="B40" s="71"/>
      <c r="C40" s="71"/>
      <c r="D40" s="11"/>
      <c r="E40" s="11"/>
      <c r="F40" s="11"/>
      <c r="G40" s="228"/>
      <c r="I40" s="228"/>
      <c r="J40" s="228"/>
      <c r="K40" s="11"/>
      <c r="L40" s="11"/>
      <c r="M40" s="11"/>
      <c r="N40" s="11"/>
      <c r="O40" s="11"/>
    </row>
    <row r="41" spans="1:15" x14ac:dyDescent="0.2">
      <c r="A41" s="259"/>
      <c r="B41" s="71"/>
      <c r="C41" s="71"/>
      <c r="D41" s="11"/>
      <c r="E41" s="11"/>
      <c r="F41" s="11"/>
      <c r="G41" s="228"/>
      <c r="I41" s="228"/>
      <c r="J41" s="228"/>
      <c r="K41" s="11"/>
      <c r="L41" s="11"/>
      <c r="M41" s="11"/>
      <c r="N41" s="11"/>
      <c r="O41" s="11"/>
    </row>
    <row r="42" spans="1:15" x14ac:dyDescent="0.2">
      <c r="A42" s="259"/>
      <c r="B42" s="71"/>
      <c r="C42" s="71"/>
      <c r="D42" s="11"/>
      <c r="E42" s="11"/>
      <c r="F42" s="11"/>
      <c r="G42" s="228"/>
      <c r="I42" s="228"/>
      <c r="J42" s="228"/>
      <c r="K42" s="11"/>
      <c r="L42" s="11"/>
      <c r="M42" s="11"/>
      <c r="N42" s="11"/>
      <c r="O42" s="11"/>
    </row>
    <row r="43" spans="1:15" x14ac:dyDescent="0.2">
      <c r="A43" s="259"/>
      <c r="B43" s="71"/>
      <c r="C43" s="71"/>
      <c r="D43" s="11"/>
      <c r="E43" s="11"/>
      <c r="F43" s="11"/>
      <c r="G43" s="228"/>
      <c r="I43" s="228"/>
      <c r="J43" s="228"/>
      <c r="K43" s="11"/>
      <c r="L43" s="11"/>
      <c r="M43" s="11"/>
      <c r="N43" s="11"/>
      <c r="O43" s="11"/>
    </row>
    <row r="44" spans="1:15" x14ac:dyDescent="0.2">
      <c r="A44" s="259"/>
      <c r="B44" s="71"/>
      <c r="C44" s="71"/>
      <c r="D44" s="11"/>
      <c r="E44" s="11"/>
      <c r="F44" s="11"/>
      <c r="G44" s="228"/>
      <c r="I44" s="228"/>
      <c r="J44" s="228"/>
      <c r="K44" s="11"/>
      <c r="L44" s="11"/>
      <c r="M44" s="11"/>
      <c r="N44" s="11"/>
      <c r="O44" s="11"/>
    </row>
    <row r="45" spans="1:15" x14ac:dyDescent="0.2">
      <c r="A45" s="259"/>
      <c r="B45" s="71"/>
      <c r="C45" s="71"/>
      <c r="D45" s="11"/>
      <c r="E45" s="11"/>
      <c r="F45" s="11"/>
      <c r="G45" s="228"/>
      <c r="I45" s="228"/>
      <c r="J45" s="228"/>
      <c r="K45" s="11"/>
      <c r="L45" s="11"/>
      <c r="M45" s="11"/>
      <c r="N45" s="11"/>
      <c r="O45" s="11"/>
    </row>
    <row r="46" spans="1:15" x14ac:dyDescent="0.2">
      <c r="A46" s="259"/>
      <c r="B46" s="71"/>
      <c r="C46" s="71"/>
      <c r="D46" s="11"/>
      <c r="E46" s="11"/>
      <c r="F46" s="11"/>
      <c r="G46" s="228"/>
      <c r="I46" s="228"/>
      <c r="J46" s="228"/>
      <c r="K46" s="11"/>
      <c r="L46" s="11"/>
      <c r="M46" s="11"/>
      <c r="N46" s="11"/>
      <c r="O46" s="11"/>
    </row>
    <row r="47" spans="1:15" x14ac:dyDescent="0.2">
      <c r="A47" s="259"/>
      <c r="B47" s="71"/>
      <c r="C47" s="71"/>
      <c r="D47" s="11"/>
      <c r="E47" s="11"/>
      <c r="F47" s="11"/>
      <c r="G47" s="228"/>
      <c r="I47" s="228"/>
      <c r="J47" s="228"/>
      <c r="K47" s="11"/>
      <c r="L47" s="11"/>
      <c r="M47" s="11"/>
      <c r="N47" s="11"/>
      <c r="O47" s="11"/>
    </row>
    <row r="48" spans="1:15" x14ac:dyDescent="0.2">
      <c r="A48" s="259"/>
      <c r="B48" s="71"/>
      <c r="C48" s="71"/>
      <c r="D48" s="11"/>
      <c r="E48" s="11"/>
      <c r="F48" s="11"/>
      <c r="G48" s="228"/>
      <c r="I48" s="228"/>
      <c r="J48" s="228"/>
      <c r="K48" s="11"/>
      <c r="L48" s="11"/>
      <c r="M48" s="11"/>
      <c r="N48" s="11"/>
      <c r="O48" s="11"/>
    </row>
    <row r="49" spans="1:15" x14ac:dyDescent="0.2">
      <c r="A49" s="259"/>
      <c r="B49" s="71"/>
      <c r="C49" s="71"/>
      <c r="D49" s="11"/>
      <c r="E49" s="11"/>
      <c r="F49" s="11"/>
      <c r="G49" s="228"/>
      <c r="I49" s="228"/>
      <c r="J49" s="228"/>
      <c r="K49" s="11"/>
      <c r="L49" s="11"/>
      <c r="M49" s="11"/>
      <c r="N49" s="11"/>
      <c r="O49" s="11"/>
    </row>
    <row r="50" spans="1:15" x14ac:dyDescent="0.2">
      <c r="A50" s="259"/>
      <c r="B50" s="71"/>
      <c r="C50" s="71"/>
      <c r="D50" s="11"/>
      <c r="E50" s="11"/>
      <c r="F50" s="11"/>
      <c r="G50" s="228"/>
      <c r="I50" s="228"/>
      <c r="J50" s="228"/>
      <c r="K50" s="11"/>
      <c r="L50" s="11"/>
      <c r="M50" s="11"/>
      <c r="N50" s="11"/>
      <c r="O50" s="11"/>
    </row>
    <row r="51" spans="1:15" x14ac:dyDescent="0.2">
      <c r="A51" s="259"/>
      <c r="B51" s="71"/>
      <c r="C51" s="71"/>
      <c r="D51" s="11"/>
      <c r="E51" s="11"/>
      <c r="F51" s="11"/>
      <c r="G51" s="228"/>
      <c r="I51" s="228"/>
      <c r="J51" s="228"/>
      <c r="K51" s="11"/>
      <c r="L51" s="11"/>
      <c r="M51" s="11"/>
      <c r="N51" s="11"/>
      <c r="O51" s="11"/>
    </row>
    <row r="52" spans="1:15" x14ac:dyDescent="0.2">
      <c r="A52" s="259"/>
      <c r="B52" s="71"/>
      <c r="C52" s="71"/>
      <c r="D52" s="11"/>
      <c r="E52" s="11"/>
      <c r="F52" s="11"/>
      <c r="G52" s="228"/>
      <c r="I52" s="228"/>
      <c r="J52" s="228"/>
      <c r="K52" s="11"/>
      <c r="L52" s="11"/>
      <c r="M52" s="11"/>
      <c r="N52" s="11"/>
      <c r="O52" s="11"/>
    </row>
    <row r="53" spans="1:15" x14ac:dyDescent="0.2">
      <c r="A53" s="259"/>
      <c r="B53" s="71"/>
      <c r="C53" s="71"/>
      <c r="D53" s="11"/>
      <c r="E53" s="11"/>
      <c r="F53" s="11"/>
      <c r="G53" s="228"/>
      <c r="I53" s="228"/>
      <c r="J53" s="228"/>
      <c r="K53" s="11"/>
      <c r="L53" s="11"/>
      <c r="M53" s="11"/>
      <c r="N53" s="11"/>
      <c r="O53" s="11"/>
    </row>
    <row r="54" spans="1:15" x14ac:dyDescent="0.2">
      <c r="A54" s="259"/>
      <c r="B54" s="71"/>
      <c r="C54" s="71"/>
      <c r="D54" s="11"/>
      <c r="E54" s="11"/>
      <c r="F54" s="11"/>
      <c r="G54" s="228"/>
      <c r="I54" s="228"/>
      <c r="J54" s="228"/>
      <c r="K54" s="11"/>
      <c r="L54" s="11"/>
      <c r="M54" s="11"/>
      <c r="N54" s="11"/>
      <c r="O54" s="11"/>
    </row>
    <row r="55" spans="1:15" x14ac:dyDescent="0.2">
      <c r="A55" s="259"/>
      <c r="B55" s="71"/>
      <c r="C55" s="71"/>
      <c r="D55" s="11"/>
      <c r="E55" s="11"/>
      <c r="F55" s="11"/>
      <c r="G55" s="228"/>
      <c r="I55" s="228"/>
      <c r="J55" s="228"/>
      <c r="K55" s="11"/>
      <c r="L55" s="11"/>
      <c r="M55" s="11"/>
      <c r="N55" s="11"/>
      <c r="O55" s="11"/>
    </row>
    <row r="56" spans="1:15" x14ac:dyDescent="0.2">
      <c r="A56" s="259"/>
      <c r="B56" s="71"/>
      <c r="C56" s="71"/>
      <c r="D56" s="11"/>
      <c r="E56" s="11"/>
      <c r="F56" s="11"/>
      <c r="G56" s="228"/>
      <c r="I56" s="228"/>
      <c r="J56" s="228"/>
      <c r="K56" s="11"/>
      <c r="L56" s="11"/>
      <c r="M56" s="11"/>
      <c r="N56" s="11"/>
      <c r="O56" s="11"/>
    </row>
    <row r="57" spans="1:15" x14ac:dyDescent="0.2">
      <c r="A57" s="259"/>
      <c r="B57" s="71"/>
      <c r="C57" s="71"/>
      <c r="D57" s="11"/>
      <c r="E57" s="11"/>
      <c r="F57" s="11"/>
      <c r="G57" s="228"/>
      <c r="I57" s="228"/>
      <c r="J57" s="228"/>
      <c r="K57" s="11"/>
      <c r="L57" s="11"/>
      <c r="M57" s="11"/>
      <c r="N57" s="11"/>
      <c r="O57" s="11"/>
    </row>
    <row r="58" spans="1:15" x14ac:dyDescent="0.2">
      <c r="A58" s="259"/>
      <c r="B58" s="71"/>
      <c r="C58" s="71"/>
      <c r="D58" s="11"/>
      <c r="E58" s="11"/>
      <c r="F58" s="11"/>
      <c r="G58" s="228"/>
      <c r="I58" s="228"/>
      <c r="J58" s="228"/>
      <c r="K58" s="11"/>
      <c r="L58" s="11"/>
      <c r="M58" s="11"/>
      <c r="N58" s="11"/>
      <c r="O58" s="11"/>
    </row>
    <row r="59" spans="1:15" x14ac:dyDescent="0.2">
      <c r="A59" s="259"/>
      <c r="B59" s="71"/>
      <c r="C59" s="71"/>
      <c r="D59" s="11"/>
      <c r="E59" s="11"/>
      <c r="F59" s="11"/>
      <c r="G59" s="228"/>
      <c r="I59" s="228"/>
      <c r="J59" s="228"/>
      <c r="K59" s="11"/>
      <c r="L59" s="11"/>
      <c r="M59" s="11"/>
      <c r="N59" s="11"/>
      <c r="O59" s="11"/>
    </row>
    <row r="60" spans="1:15" x14ac:dyDescent="0.2">
      <c r="A60" s="259"/>
      <c r="B60" s="71"/>
      <c r="C60" s="71"/>
      <c r="D60" s="11"/>
      <c r="E60" s="11"/>
      <c r="F60" s="11"/>
      <c r="G60" s="228"/>
      <c r="I60" s="228"/>
      <c r="J60" s="228"/>
      <c r="K60" s="11"/>
      <c r="L60" s="11"/>
      <c r="M60" s="11"/>
      <c r="N60" s="11"/>
      <c r="O60" s="11"/>
    </row>
    <row r="61" spans="1:15" x14ac:dyDescent="0.2">
      <c r="A61" s="259"/>
      <c r="B61" s="71"/>
      <c r="C61" s="71"/>
      <c r="D61" s="11"/>
      <c r="E61" s="11"/>
      <c r="F61" s="11"/>
      <c r="G61" s="228"/>
      <c r="I61" s="228"/>
      <c r="J61" s="228"/>
      <c r="K61" s="11"/>
      <c r="L61" s="11"/>
      <c r="M61" s="11"/>
      <c r="N61" s="11"/>
      <c r="O61" s="11"/>
    </row>
    <row r="62" spans="1:15" x14ac:dyDescent="0.2">
      <c r="A62" s="259"/>
      <c r="B62" s="71"/>
      <c r="C62" s="71"/>
      <c r="D62" s="11"/>
      <c r="E62" s="11"/>
      <c r="F62" s="11"/>
      <c r="G62" s="228"/>
      <c r="I62" s="228"/>
      <c r="J62" s="228"/>
      <c r="K62" s="11"/>
      <c r="L62" s="11"/>
      <c r="M62" s="11"/>
      <c r="N62" s="11"/>
      <c r="O62" s="11"/>
    </row>
  </sheetData>
  <mergeCells count="11">
    <mergeCell ref="B4:E4"/>
    <mergeCell ref="A6:E8"/>
    <mergeCell ref="F6:H6"/>
    <mergeCell ref="F7:H7"/>
    <mergeCell ref="F1:J4"/>
    <mergeCell ref="A5:J5"/>
    <mergeCell ref="B1:E1"/>
    <mergeCell ref="B2:E2"/>
    <mergeCell ref="B3:E3"/>
    <mergeCell ref="F8:H8"/>
    <mergeCell ref="J6:J8"/>
  </mergeCells>
  <phoneticPr fontId="11" type="noConversion"/>
  <printOptions horizontalCentered="1"/>
  <pageMargins left="0.70866141732283472" right="0.70866141732283472" top="0.74803149606299213" bottom="0.74803149606299213" header="0" footer="0"/>
  <pageSetup scale="57" orientation="landscape" r:id="rId1"/>
  <headerFooter>
    <oddFooter>&amp;CPágina &amp;P de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1"/>
  <sheetViews>
    <sheetView view="pageBreakPreview" topLeftCell="A16" zoomScale="90" zoomScaleNormal="115" zoomScaleSheetLayoutView="90" workbookViewId="0">
      <selection activeCell="G17" sqref="G17"/>
    </sheetView>
  </sheetViews>
  <sheetFormatPr defaultColWidth="12.5703125" defaultRowHeight="15" customHeight="1" x14ac:dyDescent="0.2"/>
  <cols>
    <col min="1" max="1" width="16.7109375" style="260" customWidth="1"/>
    <col min="2" max="3" width="16.7109375" style="218" customWidth="1"/>
    <col min="4" max="4" width="5.7109375" customWidth="1"/>
    <col min="5" max="5" width="70.7109375" customWidth="1"/>
    <col min="6" max="6" width="10.7109375" customWidth="1"/>
    <col min="7" max="10" width="17.7109375" style="230" customWidth="1"/>
    <col min="11" max="13" width="13.5703125" style="164" customWidth="1"/>
    <col min="14" max="14" width="13.5703125" style="158" customWidth="1"/>
    <col min="15" max="16" width="10.28515625" customWidth="1"/>
    <col min="17" max="17" width="8.85546875" customWidth="1"/>
    <col min="18" max="18" width="9.42578125" customWidth="1"/>
    <col min="19" max="21" width="9.140625" customWidth="1"/>
  </cols>
  <sheetData>
    <row r="1" spans="1:21" ht="18.399999999999999" customHeight="1" x14ac:dyDescent="0.2">
      <c r="A1" s="256" t="s">
        <v>0</v>
      </c>
      <c r="B1" s="331" t="s">
        <v>1</v>
      </c>
      <c r="C1" s="352"/>
      <c r="D1" s="312"/>
      <c r="E1" s="313"/>
      <c r="F1" s="322" t="s">
        <v>2</v>
      </c>
      <c r="G1" s="342"/>
      <c r="H1" s="342"/>
      <c r="I1" s="342"/>
      <c r="J1" s="343"/>
      <c r="K1" s="53"/>
      <c r="L1" s="53"/>
      <c r="M1" s="53"/>
      <c r="N1" s="53"/>
      <c r="O1" s="53"/>
      <c r="P1" s="53"/>
      <c r="Q1" s="53"/>
      <c r="R1" s="53"/>
      <c r="S1" s="53"/>
      <c r="T1" s="53"/>
      <c r="U1" s="52"/>
    </row>
    <row r="2" spans="1:21" ht="18.399999999999999" customHeight="1" x14ac:dyDescent="0.2">
      <c r="A2" s="256" t="s">
        <v>3</v>
      </c>
      <c r="B2" s="331" t="s">
        <v>300</v>
      </c>
      <c r="C2" s="352"/>
      <c r="D2" s="312"/>
      <c r="E2" s="313"/>
      <c r="F2" s="344"/>
      <c r="G2" s="345"/>
      <c r="H2" s="345"/>
      <c r="I2" s="345"/>
      <c r="J2" s="346"/>
      <c r="K2" s="53"/>
      <c r="L2" s="53"/>
      <c r="M2" s="53"/>
      <c r="N2" s="53"/>
      <c r="O2" s="53"/>
      <c r="P2" s="53"/>
      <c r="Q2" s="53"/>
      <c r="R2" s="53"/>
      <c r="S2" s="53"/>
      <c r="T2" s="53"/>
      <c r="U2" s="52"/>
    </row>
    <row r="3" spans="1:21" ht="18.399999999999999" customHeight="1" x14ac:dyDescent="0.2">
      <c r="A3" s="256" t="s">
        <v>5</v>
      </c>
      <c r="B3" s="328" t="s">
        <v>6</v>
      </c>
      <c r="C3" s="353"/>
      <c r="D3" s="312"/>
      <c r="E3" s="313"/>
      <c r="F3" s="344"/>
      <c r="G3" s="345"/>
      <c r="H3" s="345"/>
      <c r="I3" s="345"/>
      <c r="J3" s="346"/>
      <c r="K3" s="53"/>
      <c r="L3" s="53"/>
      <c r="M3" s="53"/>
      <c r="N3" s="53"/>
      <c r="O3" s="53"/>
      <c r="P3" s="53"/>
      <c r="Q3" s="53"/>
      <c r="R3" s="53"/>
      <c r="S3" s="53"/>
      <c r="T3" s="53"/>
      <c r="U3" s="52"/>
    </row>
    <row r="4" spans="1:21" ht="18.399999999999999" customHeight="1" x14ac:dyDescent="0.2">
      <c r="A4" s="257" t="s">
        <v>7</v>
      </c>
      <c r="B4" s="321"/>
      <c r="C4" s="338"/>
      <c r="D4" s="312"/>
      <c r="E4" s="313"/>
      <c r="F4" s="347"/>
      <c r="G4" s="348"/>
      <c r="H4" s="348"/>
      <c r="I4" s="348"/>
      <c r="J4" s="349"/>
      <c r="K4" s="53"/>
      <c r="L4" s="53"/>
      <c r="M4" s="53"/>
      <c r="N4" s="53"/>
      <c r="O4" s="53"/>
      <c r="P4" s="53"/>
      <c r="Q4" s="53"/>
      <c r="R4" s="53"/>
      <c r="S4" s="53"/>
      <c r="T4" s="53"/>
      <c r="U4" s="52"/>
    </row>
    <row r="5" spans="1:21" ht="18.399999999999999" customHeight="1" x14ac:dyDescent="0.2">
      <c r="A5" s="350" t="s">
        <v>8</v>
      </c>
      <c r="B5" s="312"/>
      <c r="C5" s="351"/>
      <c r="D5" s="312"/>
      <c r="E5" s="312"/>
      <c r="F5" s="312"/>
      <c r="G5" s="312"/>
      <c r="H5" s="312"/>
      <c r="I5" s="312"/>
      <c r="J5" s="312"/>
      <c r="K5" s="53"/>
      <c r="L5" s="53"/>
      <c r="M5" s="53"/>
      <c r="N5" s="53"/>
      <c r="O5" s="53"/>
      <c r="P5" s="53"/>
      <c r="Q5" s="53"/>
      <c r="R5" s="53"/>
      <c r="S5" s="53"/>
      <c r="T5" s="53"/>
      <c r="U5" s="52"/>
    </row>
    <row r="6" spans="1:21" ht="18.399999999999999" customHeight="1" x14ac:dyDescent="0.2">
      <c r="A6" s="358" t="s">
        <v>754</v>
      </c>
      <c r="B6" s="340"/>
      <c r="C6" s="340"/>
      <c r="D6" s="340"/>
      <c r="E6" s="323"/>
      <c r="F6" s="359" t="s">
        <v>9</v>
      </c>
      <c r="G6" s="312"/>
      <c r="H6" s="313"/>
      <c r="I6" s="227" t="s">
        <v>1140</v>
      </c>
      <c r="J6" s="237"/>
      <c r="K6" s="53"/>
      <c r="L6" s="53"/>
      <c r="M6" s="53"/>
      <c r="N6" s="53"/>
      <c r="O6" s="53"/>
      <c r="P6" s="53"/>
      <c r="Q6" s="53"/>
      <c r="R6" s="53"/>
      <c r="S6" s="53"/>
      <c r="T6" s="53"/>
      <c r="U6" s="52"/>
    </row>
    <row r="7" spans="1:21" ht="18.399999999999999" customHeight="1" x14ac:dyDescent="0.2">
      <c r="A7" s="324"/>
      <c r="B7" s="316"/>
      <c r="C7" s="316"/>
      <c r="D7" s="316"/>
      <c r="E7" s="325"/>
      <c r="F7" s="359" t="s">
        <v>10</v>
      </c>
      <c r="G7" s="312"/>
      <c r="H7" s="313"/>
      <c r="I7" s="253">
        <f>BDI!C20</f>
        <v>0.30049999999999999</v>
      </c>
      <c r="J7" s="238"/>
      <c r="K7" s="53"/>
      <c r="L7" s="53"/>
      <c r="M7" s="53"/>
      <c r="N7" s="53"/>
      <c r="O7" s="53"/>
      <c r="P7" s="53"/>
      <c r="Q7" s="53"/>
      <c r="R7" s="53"/>
      <c r="S7" s="53"/>
      <c r="T7" s="53"/>
      <c r="U7" s="52"/>
    </row>
    <row r="8" spans="1:21" ht="18.399999999999999" customHeight="1" x14ac:dyDescent="0.2">
      <c r="A8" s="326"/>
      <c r="B8" s="341"/>
      <c r="C8" s="341"/>
      <c r="D8" s="341"/>
      <c r="E8" s="327"/>
      <c r="F8" s="357" t="s">
        <v>11</v>
      </c>
      <c r="G8" s="312"/>
      <c r="H8" s="313"/>
      <c r="I8" s="253">
        <f>BDI!G20</f>
        <v>0.19900000000000001</v>
      </c>
      <c r="J8" s="234"/>
      <c r="K8" s="53"/>
      <c r="L8" s="53"/>
      <c r="M8" s="53"/>
      <c r="N8" s="53"/>
      <c r="O8" s="53"/>
      <c r="P8" s="53"/>
      <c r="Q8" s="53"/>
      <c r="R8" s="53"/>
      <c r="S8" s="53"/>
      <c r="T8" s="53"/>
      <c r="U8" s="52"/>
    </row>
    <row r="9" spans="1:21" ht="30" x14ac:dyDescent="0.2">
      <c r="A9" s="258" t="s">
        <v>12</v>
      </c>
      <c r="B9" s="245" t="s">
        <v>39</v>
      </c>
      <c r="C9" s="245"/>
      <c r="D9" s="245" t="s">
        <v>24</v>
      </c>
      <c r="E9" s="246" t="s">
        <v>25</v>
      </c>
      <c r="F9" s="226" t="s">
        <v>26</v>
      </c>
      <c r="G9" s="247" t="s">
        <v>27</v>
      </c>
      <c r="H9" s="248" t="s">
        <v>40</v>
      </c>
      <c r="I9" s="248" t="s">
        <v>29</v>
      </c>
      <c r="J9" s="248" t="s">
        <v>30</v>
      </c>
      <c r="K9" s="53"/>
      <c r="L9" s="53"/>
      <c r="M9" s="53"/>
      <c r="N9" s="53"/>
      <c r="O9" s="53"/>
      <c r="P9" s="53"/>
      <c r="Q9" s="53"/>
      <c r="R9" s="53"/>
      <c r="S9" s="53"/>
      <c r="T9" s="53"/>
      <c r="U9" s="52"/>
    </row>
    <row r="10" spans="1:21" ht="12.75" customHeight="1" x14ac:dyDescent="0.2">
      <c r="A10" s="281">
        <v>2</v>
      </c>
      <c r="B10" s="271"/>
      <c r="C10" s="271"/>
      <c r="D10" s="271"/>
      <c r="E10" s="272" t="s">
        <v>136</v>
      </c>
      <c r="F10" s="271"/>
      <c r="G10" s="273"/>
      <c r="H10" s="274"/>
      <c r="I10" s="275"/>
      <c r="J10" s="275">
        <f>SUBTOTAL(9,J11:J16)</f>
        <v>559129.76</v>
      </c>
      <c r="K10" s="53"/>
      <c r="L10" s="53"/>
      <c r="M10" s="53"/>
      <c r="N10" s="53"/>
      <c r="O10" s="53"/>
      <c r="P10" s="53"/>
      <c r="Q10" s="53"/>
      <c r="R10" s="53"/>
      <c r="S10" s="53"/>
      <c r="T10" s="53"/>
      <c r="U10" s="52"/>
    </row>
    <row r="11" spans="1:21" ht="12.75" customHeight="1" x14ac:dyDescent="0.2">
      <c r="A11" s="264" t="s">
        <v>41</v>
      </c>
      <c r="B11" s="219">
        <v>93567</v>
      </c>
      <c r="C11" s="220" t="s">
        <v>1132</v>
      </c>
      <c r="D11" s="202" t="s">
        <v>32</v>
      </c>
      <c r="E11" s="203" t="s">
        <v>1026</v>
      </c>
      <c r="F11" s="201" t="s">
        <v>1024</v>
      </c>
      <c r="G11" s="235">
        <v>12</v>
      </c>
      <c r="H11" s="212" t="s">
        <v>1133</v>
      </c>
      <c r="I11" s="212">
        <f t="shared" ref="I11:I16" si="0">ROUND(IF(D11="S",(H11*(1+$I$7)),(H11*(1+$I$8))),2)</f>
        <v>21038.14</v>
      </c>
      <c r="J11" s="212">
        <f t="shared" ref="J11:J16" si="1">ROUND(G11*I11,2)</f>
        <v>252457.68</v>
      </c>
      <c r="K11" s="53"/>
      <c r="L11" s="53"/>
      <c r="M11" s="53"/>
      <c r="N11" s="53"/>
      <c r="O11" s="53"/>
      <c r="P11" s="53"/>
      <c r="Q11" s="53"/>
      <c r="R11" s="53"/>
      <c r="S11" s="53"/>
      <c r="T11" s="53"/>
      <c r="U11" s="52"/>
    </row>
    <row r="12" spans="1:21" ht="12.75" customHeight="1" x14ac:dyDescent="0.2">
      <c r="A12" s="264" t="s">
        <v>43</v>
      </c>
      <c r="B12" s="219">
        <v>101460</v>
      </c>
      <c r="C12" s="220" t="s">
        <v>1132</v>
      </c>
      <c r="D12" s="202" t="s">
        <v>32</v>
      </c>
      <c r="E12" s="203" t="s">
        <v>1027</v>
      </c>
      <c r="F12" s="201" t="s">
        <v>1024</v>
      </c>
      <c r="G12" s="235">
        <v>28</v>
      </c>
      <c r="H12" s="212" t="s">
        <v>1134</v>
      </c>
      <c r="I12" s="212">
        <f t="shared" si="0"/>
        <v>4052.4</v>
      </c>
      <c r="J12" s="212">
        <f t="shared" si="1"/>
        <v>113467.2</v>
      </c>
      <c r="K12" s="53"/>
      <c r="L12" s="53"/>
      <c r="M12" s="53"/>
      <c r="N12" s="53"/>
      <c r="O12" s="53"/>
      <c r="P12" s="53"/>
      <c r="Q12" s="53"/>
      <c r="R12" s="53"/>
      <c r="S12" s="53"/>
      <c r="T12" s="53"/>
      <c r="U12" s="52"/>
    </row>
    <row r="13" spans="1:21" ht="12.75" customHeight="1" x14ac:dyDescent="0.2">
      <c r="A13" s="264" t="s">
        <v>108</v>
      </c>
      <c r="B13" s="219">
        <v>101390</v>
      </c>
      <c r="C13" s="220" t="s">
        <v>1132</v>
      </c>
      <c r="D13" s="202" t="s">
        <v>32</v>
      </c>
      <c r="E13" s="203" t="s">
        <v>1028</v>
      </c>
      <c r="F13" s="201" t="s">
        <v>1024</v>
      </c>
      <c r="G13" s="235">
        <v>12</v>
      </c>
      <c r="H13" s="212" t="s">
        <v>1135</v>
      </c>
      <c r="I13" s="212">
        <f t="shared" si="0"/>
        <v>6735.8</v>
      </c>
      <c r="J13" s="212">
        <f t="shared" si="1"/>
        <v>80829.600000000006</v>
      </c>
      <c r="K13" s="53"/>
      <c r="L13" s="53"/>
      <c r="M13" s="53"/>
      <c r="N13" s="53"/>
      <c r="O13" s="53"/>
      <c r="P13" s="53"/>
      <c r="Q13" s="53"/>
      <c r="R13" s="53"/>
      <c r="S13" s="53"/>
      <c r="T13" s="53"/>
      <c r="U13" s="52"/>
    </row>
    <row r="14" spans="1:21" ht="12.75" customHeight="1" x14ac:dyDescent="0.2">
      <c r="A14" s="264" t="s">
        <v>110</v>
      </c>
      <c r="B14" s="219">
        <v>93563</v>
      </c>
      <c r="C14" s="220" t="s">
        <v>1132</v>
      </c>
      <c r="D14" s="202" t="s">
        <v>32</v>
      </c>
      <c r="E14" s="203" t="s">
        <v>1025</v>
      </c>
      <c r="F14" s="201" t="s">
        <v>1024</v>
      </c>
      <c r="G14" s="235">
        <v>12</v>
      </c>
      <c r="H14" s="212" t="s">
        <v>1136</v>
      </c>
      <c r="I14" s="212">
        <f t="shared" si="0"/>
        <v>4063.46</v>
      </c>
      <c r="J14" s="212">
        <f t="shared" si="1"/>
        <v>48761.52</v>
      </c>
      <c r="K14" s="53"/>
      <c r="L14" s="53"/>
      <c r="M14" s="53"/>
      <c r="N14" s="53"/>
      <c r="O14" s="53"/>
      <c r="P14" s="53"/>
      <c r="Q14" s="53"/>
      <c r="R14" s="53"/>
      <c r="S14" s="53"/>
      <c r="T14" s="53"/>
      <c r="U14" s="52"/>
    </row>
    <row r="15" spans="1:21" ht="12.75" customHeight="1" x14ac:dyDescent="0.2">
      <c r="A15" s="264" t="s">
        <v>1090</v>
      </c>
      <c r="B15" s="219">
        <v>14250</v>
      </c>
      <c r="C15" s="220" t="s">
        <v>1132</v>
      </c>
      <c r="D15" s="202" t="s">
        <v>49</v>
      </c>
      <c r="E15" s="203" t="s">
        <v>735</v>
      </c>
      <c r="F15" s="201" t="s">
        <v>736</v>
      </c>
      <c r="G15" s="235">
        <v>39086</v>
      </c>
      <c r="H15" s="212" t="s">
        <v>1137</v>
      </c>
      <c r="I15" s="212">
        <f t="shared" si="0"/>
        <v>1.31</v>
      </c>
      <c r="J15" s="212">
        <f t="shared" si="1"/>
        <v>51202.66</v>
      </c>
      <c r="K15" s="53"/>
      <c r="L15" s="53"/>
      <c r="M15" s="53"/>
      <c r="N15" s="53"/>
      <c r="O15" s="53"/>
      <c r="P15" s="53"/>
      <c r="Q15" s="53"/>
      <c r="R15" s="53"/>
      <c r="S15" s="53"/>
      <c r="T15" s="53"/>
      <c r="U15" s="52"/>
    </row>
    <row r="16" spans="1:21" ht="12.75" customHeight="1" x14ac:dyDescent="0.2">
      <c r="A16" s="265" t="s">
        <v>1091</v>
      </c>
      <c r="B16" s="309" t="s">
        <v>1145</v>
      </c>
      <c r="C16" s="220" t="s">
        <v>1132</v>
      </c>
      <c r="D16" s="206" t="s">
        <v>49</v>
      </c>
      <c r="E16" s="207" t="s">
        <v>737</v>
      </c>
      <c r="F16" s="205" t="s">
        <v>48</v>
      </c>
      <c r="G16" s="236">
        <v>502.06700000000001</v>
      </c>
      <c r="H16" s="216">
        <v>20.62</v>
      </c>
      <c r="I16" s="216">
        <f t="shared" si="0"/>
        <v>24.72</v>
      </c>
      <c r="J16" s="216">
        <f t="shared" si="1"/>
        <v>12411.1</v>
      </c>
      <c r="K16" s="53"/>
      <c r="L16" s="53"/>
      <c r="M16" s="53"/>
      <c r="N16" s="53"/>
      <c r="O16" s="53"/>
      <c r="P16" s="53"/>
      <c r="Q16" s="53"/>
      <c r="R16" s="53"/>
      <c r="S16" s="53"/>
      <c r="T16" s="53"/>
      <c r="U16" s="52"/>
    </row>
    <row r="17" spans="1:21" ht="12.75" customHeight="1" x14ac:dyDescent="0.2">
      <c r="A17" s="54"/>
      <c r="B17" s="225"/>
      <c r="C17" s="225"/>
      <c r="D17" s="52"/>
      <c r="E17" s="52"/>
      <c r="F17" s="55"/>
      <c r="G17" s="242"/>
      <c r="H17" s="243"/>
      <c r="I17" s="243"/>
      <c r="J17" s="243"/>
      <c r="K17" s="53"/>
      <c r="L17" s="53"/>
      <c r="M17" s="53"/>
      <c r="N17" s="53"/>
      <c r="O17" s="53"/>
      <c r="P17" s="53"/>
      <c r="Q17" s="53"/>
      <c r="R17" s="53"/>
      <c r="S17" s="53"/>
      <c r="T17" s="53"/>
      <c r="U17" s="52"/>
    </row>
    <row r="18" spans="1:21" ht="12.75" customHeight="1" x14ac:dyDescent="0.2">
      <c r="A18" s="54"/>
      <c r="B18" s="225"/>
      <c r="C18" s="225"/>
      <c r="D18" s="52"/>
      <c r="E18" s="52"/>
      <c r="F18" s="55"/>
      <c r="G18" s="242"/>
      <c r="H18" s="243"/>
      <c r="I18" s="243"/>
      <c r="J18" s="243"/>
      <c r="K18" s="53"/>
      <c r="L18" s="53"/>
      <c r="M18" s="53"/>
      <c r="N18" s="53"/>
      <c r="O18" s="53"/>
      <c r="P18" s="53"/>
      <c r="Q18" s="53"/>
      <c r="R18" s="53"/>
      <c r="S18" s="53"/>
      <c r="T18" s="53"/>
      <c r="U18" s="52"/>
    </row>
    <row r="19" spans="1:21" ht="12.75" customHeight="1" x14ac:dyDescent="0.2">
      <c r="A19" s="54"/>
      <c r="B19" s="225"/>
      <c r="C19" s="225"/>
      <c r="D19" s="52"/>
      <c r="E19" s="52"/>
      <c r="F19" s="55"/>
      <c r="G19" s="242"/>
      <c r="H19" s="243"/>
      <c r="I19" s="244"/>
      <c r="J19" s="244"/>
      <c r="K19" s="53"/>
      <c r="L19" s="53"/>
      <c r="M19" s="53"/>
      <c r="N19" s="53"/>
      <c r="O19" s="53"/>
      <c r="P19" s="53"/>
      <c r="Q19" s="53"/>
      <c r="R19" s="53"/>
      <c r="S19" s="53"/>
      <c r="T19" s="53"/>
      <c r="U19" s="52"/>
    </row>
    <row r="20" spans="1:21" ht="12.75" customHeight="1" x14ac:dyDescent="0.2">
      <c r="A20" s="54"/>
      <c r="B20" s="225"/>
      <c r="C20" s="225"/>
      <c r="D20" s="52"/>
      <c r="E20" s="52"/>
      <c r="F20" s="55"/>
      <c r="G20" s="242"/>
      <c r="H20" s="244"/>
      <c r="I20" s="244"/>
      <c r="J20" s="244"/>
      <c r="K20" s="53"/>
      <c r="L20" s="53"/>
      <c r="M20" s="53"/>
      <c r="N20" s="53"/>
      <c r="O20" s="53"/>
      <c r="P20" s="53"/>
      <c r="Q20" s="53"/>
      <c r="R20" s="53"/>
      <c r="S20" s="53"/>
      <c r="T20" s="53"/>
      <c r="U20" s="52"/>
    </row>
    <row r="21" spans="1:21" ht="12.75" customHeight="1" x14ac:dyDescent="0.2">
      <c r="A21" s="54"/>
      <c r="B21" s="225"/>
      <c r="C21" s="225"/>
      <c r="D21" s="52"/>
      <c r="E21" s="52"/>
      <c r="F21" s="55"/>
      <c r="G21" s="242"/>
      <c r="H21" s="244"/>
      <c r="I21" s="244"/>
      <c r="J21" s="244"/>
      <c r="K21" s="53"/>
      <c r="L21" s="53"/>
      <c r="M21" s="53"/>
      <c r="N21" s="53"/>
      <c r="O21" s="53"/>
      <c r="P21" s="53"/>
      <c r="Q21" s="53"/>
      <c r="R21" s="53"/>
      <c r="S21" s="53"/>
      <c r="T21" s="53"/>
      <c r="U21" s="52"/>
    </row>
    <row r="22" spans="1:21" ht="12.75" customHeight="1" x14ac:dyDescent="0.2">
      <c r="A22" s="54"/>
      <c r="B22" s="225"/>
      <c r="C22" s="225"/>
      <c r="D22" s="52"/>
      <c r="E22" s="52"/>
      <c r="F22" s="55"/>
      <c r="G22" s="242"/>
      <c r="H22" s="244"/>
      <c r="I22" s="244"/>
      <c r="J22" s="244"/>
      <c r="K22" s="53"/>
      <c r="L22" s="53"/>
      <c r="M22" s="53"/>
      <c r="N22" s="53"/>
      <c r="O22" s="53"/>
      <c r="P22" s="53"/>
      <c r="Q22" s="53"/>
      <c r="R22" s="53"/>
      <c r="S22" s="53"/>
      <c r="T22" s="53"/>
      <c r="U22" s="52"/>
    </row>
    <row r="23" spans="1:21" ht="12.75" customHeight="1" x14ac:dyDescent="0.2">
      <c r="A23" s="54"/>
      <c r="B23" s="225"/>
      <c r="C23" s="225"/>
      <c r="D23" s="52"/>
      <c r="E23" s="52"/>
      <c r="F23" s="55"/>
      <c r="G23" s="242"/>
      <c r="H23" s="244"/>
      <c r="I23" s="244"/>
      <c r="J23" s="244"/>
      <c r="K23" s="53"/>
      <c r="L23" s="53"/>
      <c r="M23" s="53"/>
      <c r="N23" s="53"/>
      <c r="O23" s="53"/>
      <c r="P23" s="53"/>
      <c r="Q23" s="53"/>
      <c r="R23" s="53"/>
      <c r="S23" s="53"/>
      <c r="T23" s="53"/>
      <c r="U23" s="52"/>
    </row>
    <row r="24" spans="1:21" ht="12.75" customHeight="1" x14ac:dyDescent="0.2">
      <c r="A24" s="54"/>
      <c r="B24" s="225"/>
      <c r="C24" s="225"/>
      <c r="D24" s="52"/>
      <c r="E24" s="52"/>
      <c r="F24" s="55"/>
      <c r="G24" s="242"/>
      <c r="H24" s="244"/>
      <c r="I24" s="244"/>
      <c r="J24" s="244"/>
      <c r="K24" s="53"/>
      <c r="L24" s="53"/>
      <c r="M24" s="53"/>
      <c r="N24" s="53"/>
      <c r="O24" s="53"/>
      <c r="P24" s="53"/>
      <c r="Q24" s="53"/>
      <c r="R24" s="53"/>
      <c r="S24" s="53"/>
      <c r="T24" s="53"/>
      <c r="U24" s="52"/>
    </row>
    <row r="25" spans="1:21" ht="12.75" customHeight="1" x14ac:dyDescent="0.2">
      <c r="A25" s="54"/>
      <c r="B25" s="225"/>
      <c r="C25" s="225"/>
      <c r="D25" s="52">
        <v>44480</v>
      </c>
      <c r="E25" s="52"/>
      <c r="F25" s="55"/>
      <c r="G25" s="242"/>
      <c r="H25" s="244"/>
      <c r="I25" s="244"/>
      <c r="J25" s="244"/>
      <c r="K25" s="53"/>
      <c r="L25" s="53"/>
      <c r="M25" s="53"/>
      <c r="N25" s="53"/>
      <c r="O25" s="53"/>
      <c r="P25" s="53"/>
      <c r="Q25" s="53"/>
      <c r="R25" s="53"/>
      <c r="S25" s="53"/>
      <c r="T25" s="53"/>
      <c r="U25" s="52"/>
    </row>
    <row r="26" spans="1:21" ht="12.75" customHeight="1" x14ac:dyDescent="0.2">
      <c r="A26" s="54"/>
      <c r="B26" s="225"/>
      <c r="C26" s="225"/>
      <c r="D26" s="52"/>
      <c r="E26" s="52"/>
      <c r="F26" s="55"/>
      <c r="G26" s="242"/>
      <c r="H26" s="244"/>
      <c r="I26" s="244"/>
      <c r="J26" s="244"/>
      <c r="K26" s="53"/>
      <c r="L26" s="53"/>
      <c r="M26" s="53"/>
      <c r="N26" s="53"/>
      <c r="O26" s="53"/>
      <c r="P26" s="53"/>
      <c r="Q26" s="53"/>
      <c r="R26" s="53"/>
      <c r="S26" s="53"/>
      <c r="T26" s="53"/>
      <c r="U26" s="52"/>
    </row>
    <row r="27" spans="1:21" ht="12.75" customHeight="1" x14ac:dyDescent="0.2">
      <c r="A27" s="54"/>
      <c r="B27" s="225"/>
      <c r="C27" s="225"/>
      <c r="D27" s="52"/>
      <c r="E27" s="52"/>
      <c r="F27" s="55"/>
      <c r="G27" s="242"/>
      <c r="H27" s="244"/>
      <c r="I27" s="244"/>
      <c r="J27" s="244"/>
      <c r="K27" s="53"/>
      <c r="L27" s="53"/>
      <c r="M27" s="53"/>
      <c r="N27" s="53"/>
      <c r="O27" s="53"/>
      <c r="P27" s="53"/>
      <c r="Q27" s="53"/>
      <c r="R27" s="53"/>
      <c r="S27" s="53"/>
      <c r="T27" s="53"/>
      <c r="U27" s="52"/>
    </row>
    <row r="28" spans="1:21" ht="12.75" customHeight="1" x14ac:dyDescent="0.2">
      <c r="A28" s="54"/>
      <c r="B28" s="225"/>
      <c r="C28" s="225"/>
      <c r="D28" s="52"/>
      <c r="E28" s="52"/>
      <c r="F28" s="55"/>
      <c r="G28" s="242"/>
      <c r="H28" s="244"/>
      <c r="I28" s="244"/>
      <c r="J28" s="244"/>
      <c r="K28" s="53"/>
      <c r="L28" s="53"/>
      <c r="M28" s="53"/>
      <c r="N28" s="53"/>
      <c r="O28" s="53"/>
      <c r="P28" s="53"/>
      <c r="Q28" s="53"/>
      <c r="R28" s="53"/>
      <c r="S28" s="53"/>
      <c r="T28" s="53"/>
      <c r="U28" s="52"/>
    </row>
    <row r="29" spans="1:21" ht="12.75" customHeight="1" x14ac:dyDescent="0.2">
      <c r="A29" s="54"/>
      <c r="B29" s="225"/>
      <c r="C29" s="225"/>
      <c r="D29" s="52"/>
      <c r="E29" s="52"/>
      <c r="F29" s="55"/>
      <c r="G29" s="242"/>
      <c r="H29" s="244"/>
      <c r="I29" s="244"/>
      <c r="J29" s="244"/>
      <c r="K29" s="53"/>
      <c r="L29" s="53"/>
      <c r="M29" s="53"/>
      <c r="N29" s="53"/>
      <c r="O29" s="53"/>
      <c r="P29" s="53"/>
      <c r="Q29" s="53"/>
      <c r="R29" s="53"/>
      <c r="S29" s="53"/>
      <c r="T29" s="53"/>
      <c r="U29" s="52"/>
    </row>
    <row r="30" spans="1:21" ht="12.75" customHeight="1" x14ac:dyDescent="0.2">
      <c r="A30" s="54"/>
      <c r="B30" s="225"/>
      <c r="C30" s="225"/>
      <c r="D30" s="52"/>
      <c r="E30" s="52"/>
      <c r="F30" s="55"/>
      <c r="G30" s="242"/>
      <c r="H30" s="244"/>
      <c r="I30" s="244"/>
      <c r="J30" s="244"/>
      <c r="K30" s="53"/>
      <c r="L30" s="53"/>
      <c r="M30" s="53"/>
      <c r="N30" s="53"/>
      <c r="O30" s="54"/>
      <c r="P30" s="52"/>
      <c r="Q30" s="52"/>
      <c r="R30" s="52"/>
      <c r="S30" s="52"/>
      <c r="T30" s="52"/>
      <c r="U30" s="52"/>
    </row>
    <row r="31" spans="1:21" ht="12.75" customHeight="1" x14ac:dyDescent="0.2">
      <c r="A31" s="54"/>
      <c r="B31" s="225"/>
      <c r="C31" s="225"/>
      <c r="D31" s="52"/>
      <c r="E31" s="52"/>
      <c r="F31" s="55"/>
      <c r="G31" s="242"/>
      <c r="H31" s="244"/>
      <c r="I31" s="244"/>
      <c r="J31" s="244"/>
      <c r="K31" s="53"/>
      <c r="L31" s="53"/>
      <c r="M31" s="53"/>
      <c r="N31" s="53"/>
      <c r="O31" s="54"/>
      <c r="P31" s="52"/>
      <c r="Q31" s="52"/>
      <c r="R31" s="52"/>
      <c r="S31" s="52"/>
      <c r="T31" s="52"/>
      <c r="U31" s="52"/>
    </row>
    <row r="32" spans="1:21" ht="12.75" customHeight="1" x14ac:dyDescent="0.2">
      <c r="A32" s="54"/>
      <c r="B32" s="225"/>
      <c r="C32" s="225"/>
      <c r="D32" s="52"/>
      <c r="E32" s="52"/>
      <c r="F32" s="55"/>
      <c r="G32" s="242"/>
      <c r="H32" s="244"/>
      <c r="I32" s="244"/>
      <c r="J32" s="244"/>
      <c r="K32" s="53"/>
      <c r="L32" s="53"/>
      <c r="M32" s="53"/>
      <c r="N32" s="53"/>
      <c r="O32" s="54"/>
      <c r="P32" s="52"/>
      <c r="Q32" s="52"/>
      <c r="R32" s="52"/>
      <c r="S32" s="52"/>
      <c r="T32" s="52"/>
      <c r="U32" s="52"/>
    </row>
    <row r="33" spans="1:21" ht="12.75" customHeight="1" x14ac:dyDescent="0.2">
      <c r="A33" s="54"/>
      <c r="B33" s="225"/>
      <c r="C33" s="225"/>
      <c r="D33" s="52"/>
      <c r="E33" s="52"/>
      <c r="F33" s="55"/>
      <c r="G33" s="242"/>
      <c r="H33" s="244"/>
      <c r="I33" s="244"/>
      <c r="J33" s="244"/>
      <c r="K33" s="53"/>
      <c r="L33" s="53"/>
      <c r="M33" s="53"/>
      <c r="N33" s="53"/>
      <c r="O33" s="54"/>
      <c r="P33" s="52"/>
      <c r="Q33" s="52"/>
      <c r="R33" s="52"/>
      <c r="S33" s="52"/>
      <c r="T33" s="52"/>
      <c r="U33" s="52"/>
    </row>
    <row r="34" spans="1:21" ht="12.75" customHeight="1" x14ac:dyDescent="0.2">
      <c r="A34" s="54"/>
      <c r="B34" s="225"/>
      <c r="C34" s="225"/>
      <c r="D34" s="52"/>
      <c r="E34" s="52"/>
      <c r="F34" s="55"/>
      <c r="G34" s="242"/>
      <c r="H34" s="244"/>
      <c r="I34" s="244"/>
      <c r="J34" s="244"/>
      <c r="K34" s="53"/>
      <c r="L34" s="53"/>
      <c r="M34" s="53"/>
      <c r="N34" s="53"/>
      <c r="O34" s="54"/>
      <c r="P34" s="52"/>
      <c r="Q34" s="52"/>
      <c r="R34" s="52"/>
      <c r="S34" s="52"/>
      <c r="T34" s="52"/>
      <c r="U34" s="52"/>
    </row>
    <row r="35" spans="1:21" ht="12.75" customHeight="1" x14ac:dyDescent="0.2">
      <c r="A35" s="54"/>
      <c r="B35" s="225"/>
      <c r="C35" s="225"/>
      <c r="D35" s="52"/>
      <c r="E35" s="52"/>
      <c r="F35" s="55"/>
      <c r="G35" s="242"/>
      <c r="H35" s="244"/>
      <c r="I35" s="244"/>
      <c r="J35" s="244"/>
      <c r="K35" s="53"/>
      <c r="L35" s="53"/>
      <c r="M35" s="53"/>
      <c r="N35" s="53"/>
      <c r="O35" s="54"/>
      <c r="P35" s="52"/>
      <c r="Q35" s="52"/>
      <c r="R35" s="52"/>
      <c r="S35" s="52"/>
      <c r="T35" s="52"/>
      <c r="U35" s="52"/>
    </row>
    <row r="36" spans="1:21" ht="12.75" customHeight="1" x14ac:dyDescent="0.2">
      <c r="A36" s="54"/>
      <c r="B36" s="225"/>
      <c r="C36" s="225"/>
      <c r="D36" s="52"/>
      <c r="E36" s="52"/>
      <c r="F36" s="55"/>
      <c r="G36" s="242"/>
      <c r="H36" s="244"/>
      <c r="I36" s="244"/>
      <c r="J36" s="244"/>
      <c r="K36" s="53"/>
      <c r="L36" s="53"/>
      <c r="M36" s="53"/>
      <c r="N36" s="53"/>
      <c r="O36" s="54"/>
      <c r="P36" s="52"/>
      <c r="Q36" s="52"/>
      <c r="R36" s="52"/>
      <c r="S36" s="52"/>
      <c r="T36" s="52"/>
      <c r="U36" s="52"/>
    </row>
    <row r="37" spans="1:21" ht="12.75" customHeight="1" x14ac:dyDescent="0.2">
      <c r="A37" s="54"/>
      <c r="B37" s="225"/>
      <c r="C37" s="225"/>
      <c r="D37" s="52"/>
      <c r="E37" s="52"/>
      <c r="F37" s="55"/>
      <c r="G37" s="242"/>
      <c r="H37" s="244"/>
      <c r="I37" s="244"/>
      <c r="J37" s="244"/>
      <c r="K37" s="53"/>
      <c r="L37" s="53"/>
      <c r="M37" s="53"/>
      <c r="N37" s="53"/>
      <c r="O37" s="54"/>
      <c r="P37" s="52"/>
      <c r="Q37" s="52"/>
      <c r="R37" s="52"/>
      <c r="S37" s="52"/>
      <c r="T37" s="52"/>
      <c r="U37" s="52"/>
    </row>
    <row r="38" spans="1:21" ht="12.75" customHeight="1" x14ac:dyDescent="0.2">
      <c r="A38" s="54"/>
      <c r="B38" s="225"/>
      <c r="C38" s="225"/>
      <c r="D38" s="52"/>
      <c r="E38" s="52"/>
      <c r="F38" s="55"/>
      <c r="G38" s="242"/>
      <c r="H38" s="244"/>
      <c r="I38" s="244"/>
      <c r="J38" s="244"/>
      <c r="K38" s="53"/>
      <c r="L38" s="53"/>
      <c r="M38" s="53"/>
      <c r="N38" s="53"/>
      <c r="O38" s="54"/>
      <c r="P38" s="52"/>
      <c r="Q38" s="52"/>
      <c r="R38" s="52"/>
      <c r="S38" s="52"/>
      <c r="T38" s="52"/>
      <c r="U38" s="52"/>
    </row>
    <row r="39" spans="1:21" ht="12.75" customHeight="1" x14ac:dyDescent="0.2">
      <c r="A39" s="54"/>
      <c r="B39" s="225"/>
      <c r="C39" s="225"/>
      <c r="D39" s="52"/>
      <c r="E39" s="52"/>
      <c r="F39" s="55"/>
      <c r="G39" s="242"/>
      <c r="H39" s="244"/>
      <c r="I39" s="244"/>
      <c r="J39" s="244"/>
      <c r="K39" s="53"/>
      <c r="L39" s="53"/>
      <c r="M39" s="53"/>
      <c r="N39" s="53"/>
      <c r="O39" s="54"/>
      <c r="P39" s="52"/>
      <c r="Q39" s="52"/>
      <c r="R39" s="52"/>
      <c r="S39" s="52"/>
      <c r="T39" s="52"/>
      <c r="U39" s="52"/>
    </row>
    <row r="40" spans="1:21" ht="12.75" customHeight="1" x14ac:dyDescent="0.2">
      <c r="A40" s="54"/>
      <c r="B40" s="225"/>
      <c r="C40" s="225"/>
      <c r="D40" s="52"/>
      <c r="E40" s="52"/>
      <c r="F40" s="55"/>
      <c r="G40" s="242"/>
      <c r="H40" s="244"/>
      <c r="I40" s="244"/>
      <c r="J40" s="244"/>
      <c r="K40" s="53"/>
      <c r="L40" s="53"/>
      <c r="M40" s="53"/>
      <c r="N40" s="53"/>
      <c r="O40" s="54"/>
      <c r="P40" s="52"/>
      <c r="Q40" s="52"/>
      <c r="R40" s="52"/>
      <c r="S40" s="52"/>
      <c r="T40" s="52"/>
      <c r="U40" s="52"/>
    </row>
    <row r="41" spans="1:21" ht="12.75" customHeight="1" x14ac:dyDescent="0.2">
      <c r="A41" s="54"/>
      <c r="B41" s="225"/>
      <c r="C41" s="225"/>
      <c r="D41" s="52"/>
      <c r="E41" s="52"/>
      <c r="F41" s="55"/>
      <c r="G41" s="242"/>
      <c r="H41" s="244"/>
      <c r="I41" s="244"/>
      <c r="J41" s="244"/>
      <c r="K41" s="53"/>
      <c r="L41" s="53"/>
      <c r="M41" s="53"/>
      <c r="N41" s="53"/>
      <c r="O41" s="54"/>
      <c r="P41" s="52"/>
      <c r="Q41" s="52"/>
      <c r="R41" s="52"/>
      <c r="S41" s="52"/>
      <c r="T41" s="52"/>
      <c r="U41" s="52"/>
    </row>
    <row r="42" spans="1:21" ht="12.75" customHeight="1" x14ac:dyDescent="0.2">
      <c r="A42" s="54"/>
      <c r="B42" s="225"/>
      <c r="C42" s="225"/>
      <c r="D42" s="52"/>
      <c r="E42" s="52"/>
      <c r="F42" s="55"/>
      <c r="G42" s="242"/>
      <c r="H42" s="244"/>
      <c r="I42" s="244"/>
      <c r="J42" s="244"/>
      <c r="K42" s="53"/>
      <c r="L42" s="53"/>
      <c r="M42" s="53"/>
      <c r="N42" s="53"/>
      <c r="O42" s="54"/>
      <c r="P42" s="52"/>
      <c r="Q42" s="52"/>
      <c r="R42" s="52"/>
      <c r="S42" s="52"/>
      <c r="T42" s="52"/>
      <c r="U42" s="52"/>
    </row>
    <row r="43" spans="1:21" ht="12.75" customHeight="1" x14ac:dyDescent="0.2">
      <c r="A43" s="54"/>
      <c r="B43" s="225"/>
      <c r="C43" s="225"/>
      <c r="D43" s="52"/>
      <c r="E43" s="52"/>
      <c r="F43" s="55"/>
      <c r="G43" s="242"/>
      <c r="H43" s="244"/>
      <c r="I43" s="244"/>
      <c r="J43" s="244"/>
      <c r="K43" s="53"/>
      <c r="L43" s="53"/>
      <c r="M43" s="53"/>
      <c r="N43" s="53"/>
      <c r="O43" s="54"/>
      <c r="P43" s="52"/>
      <c r="Q43" s="52"/>
      <c r="R43" s="52"/>
      <c r="S43" s="52"/>
      <c r="T43" s="52"/>
      <c r="U43" s="52"/>
    </row>
    <row r="44" spans="1:21" ht="12.75" customHeight="1" x14ac:dyDescent="0.2">
      <c r="A44" s="54"/>
      <c r="B44" s="225"/>
      <c r="C44" s="225"/>
      <c r="D44" s="52"/>
      <c r="E44" s="52"/>
      <c r="F44" s="55"/>
      <c r="G44" s="242"/>
      <c r="H44" s="244"/>
      <c r="I44" s="244"/>
      <c r="J44" s="244"/>
      <c r="K44" s="53"/>
      <c r="L44" s="53"/>
      <c r="M44" s="53"/>
      <c r="N44" s="53"/>
      <c r="O44" s="54"/>
      <c r="P44" s="52"/>
      <c r="Q44" s="52"/>
      <c r="R44" s="52"/>
      <c r="S44" s="52"/>
      <c r="T44" s="52"/>
      <c r="U44" s="52"/>
    </row>
    <row r="45" spans="1:21" ht="12.75" customHeight="1" x14ac:dyDescent="0.2">
      <c r="A45" s="54"/>
      <c r="B45" s="225"/>
      <c r="C45" s="225"/>
      <c r="D45" s="52"/>
      <c r="E45" s="52"/>
      <c r="F45" s="55"/>
      <c r="G45" s="242"/>
      <c r="H45" s="244"/>
      <c r="I45" s="244"/>
      <c r="J45" s="244"/>
      <c r="K45" s="53"/>
      <c r="L45" s="53"/>
      <c r="M45" s="53"/>
      <c r="N45" s="53"/>
      <c r="O45" s="54"/>
      <c r="P45" s="52"/>
      <c r="Q45" s="52"/>
      <c r="R45" s="52"/>
      <c r="S45" s="52"/>
      <c r="T45" s="52"/>
      <c r="U45" s="52"/>
    </row>
    <row r="46" spans="1:21" ht="12.75" customHeight="1" x14ac:dyDescent="0.2">
      <c r="A46" s="54"/>
      <c r="B46" s="225"/>
      <c r="C46" s="225"/>
      <c r="D46" s="52"/>
      <c r="E46" s="52"/>
      <c r="F46" s="55"/>
      <c r="G46" s="242"/>
      <c r="H46" s="244"/>
      <c r="I46" s="244"/>
      <c r="J46" s="244"/>
      <c r="K46" s="53"/>
      <c r="L46" s="53"/>
      <c r="M46" s="53"/>
      <c r="N46" s="53"/>
      <c r="O46" s="54"/>
      <c r="P46" s="52"/>
      <c r="Q46" s="52"/>
      <c r="R46" s="52"/>
      <c r="S46" s="52"/>
      <c r="T46" s="52"/>
      <c r="U46" s="52"/>
    </row>
    <row r="47" spans="1:21" ht="12.75" customHeight="1" x14ac:dyDescent="0.2">
      <c r="A47" s="54"/>
      <c r="B47" s="225"/>
      <c r="C47" s="225"/>
      <c r="D47" s="52"/>
      <c r="E47" s="52"/>
      <c r="F47" s="55"/>
      <c r="G47" s="242"/>
      <c r="H47" s="244"/>
      <c r="I47" s="244"/>
      <c r="J47" s="244"/>
      <c r="K47" s="53"/>
      <c r="L47" s="53"/>
      <c r="M47" s="53"/>
      <c r="N47" s="53"/>
      <c r="O47" s="54"/>
      <c r="P47" s="52"/>
      <c r="Q47" s="52"/>
      <c r="R47" s="52"/>
      <c r="S47" s="52"/>
      <c r="T47" s="52"/>
      <c r="U47" s="52"/>
    </row>
    <row r="48" spans="1:21" ht="12.75" customHeight="1" x14ac:dyDescent="0.2">
      <c r="A48" s="54"/>
      <c r="B48" s="225"/>
      <c r="C48" s="225"/>
      <c r="D48" s="52"/>
      <c r="E48" s="52"/>
      <c r="F48" s="55"/>
      <c r="G48" s="242"/>
      <c r="H48" s="244"/>
      <c r="I48" s="244"/>
      <c r="J48" s="244"/>
      <c r="K48" s="53"/>
      <c r="L48" s="53"/>
      <c r="M48" s="53"/>
      <c r="N48" s="53"/>
      <c r="O48" s="54"/>
      <c r="P48" s="52"/>
      <c r="Q48" s="52"/>
      <c r="R48" s="52"/>
      <c r="S48" s="52"/>
      <c r="T48" s="52"/>
      <c r="U48" s="52"/>
    </row>
    <row r="49" spans="1:21" ht="12.75" customHeight="1" x14ac:dyDescent="0.2">
      <c r="A49" s="54"/>
      <c r="B49" s="225"/>
      <c r="C49" s="225"/>
      <c r="D49" s="52"/>
      <c r="E49" s="52"/>
      <c r="F49" s="55"/>
      <c r="G49" s="242"/>
      <c r="H49" s="244"/>
      <c r="I49" s="244"/>
      <c r="J49" s="244"/>
      <c r="K49" s="53"/>
      <c r="L49" s="53"/>
      <c r="M49" s="53"/>
      <c r="N49" s="53"/>
      <c r="O49" s="54"/>
      <c r="P49" s="52"/>
      <c r="Q49" s="52"/>
      <c r="R49" s="52"/>
      <c r="S49" s="52"/>
      <c r="T49" s="52"/>
      <c r="U49" s="52"/>
    </row>
    <row r="50" spans="1:21" ht="12.75" customHeight="1" x14ac:dyDescent="0.2">
      <c r="A50" s="54"/>
      <c r="B50" s="225"/>
      <c r="C50" s="225"/>
      <c r="D50" s="52"/>
      <c r="E50" s="52"/>
      <c r="F50" s="55"/>
      <c r="G50" s="242"/>
      <c r="H50" s="244"/>
      <c r="I50" s="244"/>
      <c r="J50" s="244"/>
      <c r="K50" s="53"/>
      <c r="L50" s="53"/>
      <c r="M50" s="53"/>
      <c r="N50" s="53"/>
      <c r="O50" s="54"/>
      <c r="P50" s="52"/>
      <c r="Q50" s="52"/>
      <c r="R50" s="52"/>
      <c r="S50" s="52"/>
      <c r="T50" s="52"/>
      <c r="U50" s="52"/>
    </row>
    <row r="51" spans="1:21" ht="12.75" customHeight="1" x14ac:dyDescent="0.2">
      <c r="A51" s="54"/>
      <c r="B51" s="225"/>
      <c r="C51" s="225"/>
      <c r="D51" s="52"/>
      <c r="E51" s="52"/>
      <c r="F51" s="55"/>
      <c r="G51" s="242"/>
      <c r="H51" s="244"/>
      <c r="I51" s="244"/>
      <c r="J51" s="244"/>
      <c r="K51" s="53"/>
      <c r="L51" s="53"/>
      <c r="M51" s="53"/>
      <c r="N51" s="53"/>
      <c r="O51" s="54"/>
      <c r="P51" s="52"/>
      <c r="Q51" s="52"/>
      <c r="R51" s="52"/>
      <c r="S51" s="52"/>
      <c r="T51" s="52"/>
      <c r="U51" s="52"/>
    </row>
    <row r="52" spans="1:21" ht="12.75" customHeight="1" x14ac:dyDescent="0.2">
      <c r="A52" s="54"/>
      <c r="B52" s="225"/>
      <c r="C52" s="225"/>
      <c r="D52" s="52"/>
      <c r="E52" s="52"/>
      <c r="F52" s="55"/>
      <c r="G52" s="242"/>
      <c r="H52" s="244"/>
      <c r="I52" s="244"/>
      <c r="J52" s="244"/>
      <c r="K52" s="53"/>
      <c r="L52" s="53"/>
      <c r="M52" s="53"/>
      <c r="N52" s="53"/>
      <c r="O52" s="54"/>
      <c r="P52" s="52"/>
      <c r="Q52" s="52"/>
      <c r="R52" s="52"/>
      <c r="S52" s="52"/>
      <c r="T52" s="52"/>
      <c r="U52" s="52"/>
    </row>
    <row r="53" spans="1:21" ht="12.75" customHeight="1" x14ac:dyDescent="0.2">
      <c r="A53" s="54"/>
      <c r="B53" s="225"/>
      <c r="C53" s="225"/>
      <c r="D53" s="52"/>
      <c r="E53" s="52"/>
      <c r="F53" s="55"/>
      <c r="G53" s="242"/>
      <c r="H53" s="244"/>
      <c r="I53" s="244"/>
      <c r="J53" s="244"/>
      <c r="K53" s="53"/>
      <c r="L53" s="53"/>
      <c r="M53" s="53"/>
      <c r="N53" s="53"/>
      <c r="O53" s="54"/>
      <c r="P53" s="52"/>
      <c r="Q53" s="52"/>
      <c r="R53" s="52"/>
      <c r="S53" s="52"/>
      <c r="T53" s="52"/>
      <c r="U53" s="52"/>
    </row>
    <row r="54" spans="1:21" ht="12.75" customHeight="1" x14ac:dyDescent="0.2">
      <c r="A54" s="54"/>
      <c r="B54" s="225"/>
      <c r="C54" s="225"/>
      <c r="D54" s="52"/>
      <c r="E54" s="52"/>
      <c r="F54" s="55"/>
      <c r="G54" s="242"/>
      <c r="H54" s="244"/>
      <c r="I54" s="244"/>
      <c r="J54" s="244"/>
      <c r="K54" s="53"/>
      <c r="L54" s="53"/>
      <c r="M54" s="53"/>
      <c r="N54" s="53"/>
      <c r="O54" s="54"/>
      <c r="P54" s="52"/>
      <c r="Q54" s="52"/>
      <c r="R54" s="52"/>
      <c r="S54" s="52"/>
      <c r="T54" s="52"/>
      <c r="U54" s="52"/>
    </row>
    <row r="55" spans="1:21" ht="12.75" customHeight="1" x14ac:dyDescent="0.2">
      <c r="A55" s="54"/>
      <c r="B55" s="225"/>
      <c r="C55" s="225"/>
      <c r="D55" s="52"/>
      <c r="E55" s="52"/>
      <c r="F55" s="55"/>
      <c r="G55" s="242"/>
      <c r="H55" s="244"/>
      <c r="I55" s="244"/>
      <c r="J55" s="244"/>
      <c r="K55" s="53"/>
      <c r="L55" s="53"/>
      <c r="M55" s="53"/>
      <c r="N55" s="53"/>
      <c r="O55" s="54"/>
      <c r="P55" s="52"/>
      <c r="Q55" s="52"/>
      <c r="R55" s="52"/>
      <c r="S55" s="52"/>
      <c r="T55" s="52"/>
      <c r="U55" s="52"/>
    </row>
    <row r="56" spans="1:21" ht="12.75" customHeight="1" x14ac:dyDescent="0.2">
      <c r="A56" s="54"/>
      <c r="B56" s="225"/>
      <c r="C56" s="225"/>
      <c r="D56" s="52"/>
      <c r="E56" s="52"/>
      <c r="F56" s="55"/>
      <c r="G56" s="242"/>
      <c r="H56" s="244"/>
      <c r="I56" s="244"/>
      <c r="J56" s="244"/>
      <c r="K56" s="53"/>
      <c r="L56" s="53"/>
      <c r="M56" s="53"/>
      <c r="N56" s="53"/>
      <c r="O56" s="54"/>
      <c r="P56" s="52"/>
      <c r="Q56" s="52"/>
      <c r="R56" s="52"/>
      <c r="S56" s="52"/>
      <c r="T56" s="52"/>
      <c r="U56" s="52"/>
    </row>
    <row r="57" spans="1:21" ht="12.75" customHeight="1" x14ac:dyDescent="0.2">
      <c r="A57" s="54"/>
      <c r="B57" s="225"/>
      <c r="C57" s="225"/>
      <c r="D57" s="52"/>
      <c r="E57" s="52"/>
      <c r="F57" s="55"/>
      <c r="G57" s="242"/>
      <c r="H57" s="244"/>
      <c r="I57" s="244"/>
      <c r="J57" s="244"/>
      <c r="K57" s="53"/>
      <c r="L57" s="53"/>
      <c r="M57" s="53"/>
      <c r="N57" s="53"/>
      <c r="O57" s="54"/>
      <c r="P57" s="52"/>
      <c r="Q57" s="52"/>
      <c r="R57" s="52"/>
      <c r="S57" s="52"/>
      <c r="T57" s="52"/>
      <c r="U57" s="52"/>
    </row>
    <row r="58" spans="1:21" ht="12.75" customHeight="1" x14ac:dyDescent="0.2">
      <c r="A58" s="54"/>
      <c r="B58" s="225"/>
      <c r="C58" s="225"/>
      <c r="D58" s="52"/>
      <c r="E58" s="52"/>
      <c r="F58" s="55"/>
      <c r="G58" s="242"/>
      <c r="H58" s="244"/>
      <c r="I58" s="244"/>
      <c r="J58" s="244"/>
      <c r="K58" s="53"/>
      <c r="L58" s="53"/>
      <c r="M58" s="53"/>
      <c r="N58" s="53"/>
      <c r="O58" s="54"/>
      <c r="P58" s="52"/>
      <c r="Q58" s="52"/>
      <c r="R58" s="52"/>
      <c r="S58" s="52"/>
      <c r="T58" s="52"/>
      <c r="U58" s="52"/>
    </row>
    <row r="59" spans="1:21" ht="12.75" customHeight="1" x14ac:dyDescent="0.2">
      <c r="A59" s="54"/>
      <c r="B59" s="225"/>
      <c r="C59" s="225"/>
      <c r="D59" s="52"/>
      <c r="E59" s="52"/>
      <c r="F59" s="55"/>
      <c r="G59" s="242"/>
      <c r="H59" s="244"/>
      <c r="I59" s="244"/>
      <c r="J59" s="244"/>
      <c r="K59" s="53"/>
      <c r="L59" s="53"/>
      <c r="M59" s="53"/>
      <c r="N59" s="53"/>
      <c r="O59" s="54"/>
      <c r="P59" s="52"/>
      <c r="Q59" s="52"/>
      <c r="R59" s="52"/>
      <c r="S59" s="52"/>
      <c r="T59" s="52"/>
      <c r="U59" s="52"/>
    </row>
    <row r="60" spans="1:21" ht="12.75" customHeight="1" x14ac:dyDescent="0.2">
      <c r="A60" s="54"/>
      <c r="B60" s="225"/>
      <c r="C60" s="225"/>
      <c r="D60" s="52"/>
      <c r="E60" s="52"/>
      <c r="F60" s="55"/>
      <c r="G60" s="242"/>
      <c r="H60" s="244"/>
      <c r="I60" s="244"/>
      <c r="J60" s="244"/>
      <c r="K60" s="53"/>
      <c r="L60" s="53"/>
      <c r="M60" s="53"/>
      <c r="N60" s="53"/>
      <c r="O60" s="54"/>
      <c r="P60" s="52"/>
      <c r="Q60" s="52"/>
      <c r="R60" s="52"/>
      <c r="S60" s="52"/>
      <c r="T60" s="52"/>
      <c r="U60" s="52"/>
    </row>
    <row r="61" spans="1:21" ht="12.75" customHeight="1" x14ac:dyDescent="0.2">
      <c r="A61" s="54"/>
      <c r="B61" s="225"/>
      <c r="C61" s="225"/>
      <c r="D61" s="52"/>
      <c r="E61" s="52"/>
      <c r="F61" s="55"/>
      <c r="G61" s="242"/>
      <c r="H61" s="244"/>
      <c r="I61" s="244"/>
      <c r="J61" s="244"/>
      <c r="K61" s="53"/>
      <c r="L61" s="53"/>
      <c r="M61" s="53"/>
      <c r="N61" s="53"/>
      <c r="O61" s="54"/>
      <c r="P61" s="52"/>
      <c r="Q61" s="52"/>
      <c r="R61" s="52"/>
      <c r="S61" s="52"/>
      <c r="T61" s="52"/>
      <c r="U61" s="52"/>
    </row>
    <row r="62" spans="1:21" ht="12.75" customHeight="1" x14ac:dyDescent="0.2">
      <c r="A62" s="54"/>
      <c r="B62" s="225"/>
      <c r="C62" s="225"/>
      <c r="D62" s="52"/>
      <c r="E62" s="52"/>
      <c r="F62" s="55"/>
      <c r="G62" s="242"/>
      <c r="H62" s="244"/>
      <c r="I62" s="244"/>
      <c r="J62" s="244"/>
      <c r="K62" s="53"/>
      <c r="L62" s="53"/>
      <c r="M62" s="53"/>
      <c r="N62" s="53"/>
      <c r="O62" s="54"/>
      <c r="P62" s="52"/>
      <c r="Q62" s="52"/>
      <c r="R62" s="52"/>
      <c r="S62" s="52"/>
      <c r="T62" s="52"/>
      <c r="U62" s="52"/>
    </row>
    <row r="63" spans="1:21" ht="12.75" customHeight="1" x14ac:dyDescent="0.2">
      <c r="A63" s="54"/>
      <c r="B63" s="225"/>
      <c r="C63" s="225"/>
      <c r="D63" s="52"/>
      <c r="E63" s="52"/>
      <c r="F63" s="55"/>
      <c r="G63" s="242"/>
      <c r="H63" s="244"/>
      <c r="I63" s="244"/>
      <c r="J63" s="244"/>
      <c r="K63" s="53"/>
      <c r="L63" s="53"/>
      <c r="M63" s="53"/>
      <c r="N63" s="53"/>
      <c r="O63" s="54"/>
      <c r="P63" s="52"/>
      <c r="Q63" s="52"/>
      <c r="R63" s="52"/>
      <c r="S63" s="52"/>
      <c r="T63" s="52"/>
      <c r="U63" s="52"/>
    </row>
    <row r="64" spans="1:21" ht="12.75" customHeight="1" x14ac:dyDescent="0.2">
      <c r="A64" s="54"/>
      <c r="B64" s="225"/>
      <c r="C64" s="225"/>
      <c r="D64" s="52"/>
      <c r="E64" s="52"/>
      <c r="F64" s="55"/>
      <c r="G64" s="242"/>
      <c r="H64" s="244"/>
      <c r="I64" s="244"/>
      <c r="J64" s="244"/>
      <c r="K64" s="53"/>
      <c r="L64" s="53"/>
      <c r="M64" s="53"/>
      <c r="N64" s="53"/>
      <c r="O64" s="54"/>
      <c r="P64" s="52"/>
      <c r="Q64" s="52"/>
      <c r="R64" s="52"/>
      <c r="S64" s="52"/>
      <c r="T64" s="52"/>
      <c r="U64" s="52"/>
    </row>
    <row r="65" spans="1:21" ht="12.75" customHeight="1" x14ac:dyDescent="0.2">
      <c r="A65" s="54"/>
      <c r="B65" s="225"/>
      <c r="C65" s="225"/>
      <c r="D65" s="52"/>
      <c r="E65" s="52"/>
      <c r="F65" s="55"/>
      <c r="G65" s="242"/>
      <c r="H65" s="244"/>
      <c r="I65" s="244"/>
      <c r="J65" s="244"/>
      <c r="K65" s="53"/>
      <c r="L65" s="53"/>
      <c r="M65" s="53"/>
      <c r="N65" s="53"/>
      <c r="O65" s="54"/>
      <c r="P65" s="52"/>
      <c r="Q65" s="52"/>
      <c r="R65" s="52"/>
      <c r="S65" s="52"/>
      <c r="T65" s="52"/>
      <c r="U65" s="52"/>
    </row>
    <row r="66" spans="1:21" ht="12.75" customHeight="1" x14ac:dyDescent="0.2">
      <c r="A66" s="54"/>
      <c r="B66" s="225"/>
      <c r="C66" s="225"/>
      <c r="D66" s="52"/>
      <c r="E66" s="52"/>
      <c r="F66" s="55"/>
      <c r="G66" s="242"/>
      <c r="H66" s="244"/>
      <c r="I66" s="244"/>
      <c r="J66" s="244"/>
      <c r="K66" s="53"/>
      <c r="L66" s="53"/>
      <c r="M66" s="53"/>
      <c r="N66" s="53"/>
      <c r="O66" s="54"/>
      <c r="P66" s="52"/>
      <c r="Q66" s="52"/>
      <c r="R66" s="52"/>
      <c r="S66" s="52"/>
      <c r="T66" s="52"/>
      <c r="U66" s="52"/>
    </row>
    <row r="67" spans="1:21" ht="12.75" customHeight="1" x14ac:dyDescent="0.2">
      <c r="A67" s="54"/>
      <c r="B67" s="225"/>
      <c r="C67" s="225"/>
      <c r="D67" s="52"/>
      <c r="E67" s="52"/>
      <c r="F67" s="55"/>
      <c r="G67" s="242"/>
      <c r="H67" s="244"/>
      <c r="I67" s="244"/>
      <c r="J67" s="244"/>
      <c r="K67" s="53"/>
      <c r="L67" s="53"/>
      <c r="M67" s="53"/>
      <c r="N67" s="53"/>
      <c r="O67" s="54"/>
      <c r="P67" s="52"/>
      <c r="Q67" s="52"/>
      <c r="R67" s="52"/>
      <c r="S67" s="52"/>
      <c r="T67" s="52"/>
      <c r="U67" s="52"/>
    </row>
    <row r="68" spans="1:21" ht="12.75" customHeight="1" x14ac:dyDescent="0.2">
      <c r="A68" s="54"/>
      <c r="B68" s="225"/>
      <c r="C68" s="225"/>
      <c r="D68" s="52"/>
      <c r="E68" s="52"/>
      <c r="F68" s="55"/>
      <c r="G68" s="242"/>
      <c r="H68" s="244"/>
      <c r="I68" s="244"/>
      <c r="J68" s="244"/>
      <c r="K68" s="53"/>
      <c r="L68" s="53"/>
      <c r="M68" s="53"/>
      <c r="N68" s="53"/>
      <c r="O68" s="54"/>
      <c r="P68" s="52"/>
      <c r="Q68" s="52"/>
      <c r="R68" s="52"/>
      <c r="S68" s="52"/>
      <c r="T68" s="52"/>
      <c r="U68" s="52"/>
    </row>
    <row r="69" spans="1:21" ht="12.75" customHeight="1" x14ac:dyDescent="0.2">
      <c r="A69" s="54"/>
      <c r="B69" s="225"/>
      <c r="C69" s="225"/>
      <c r="D69" s="52"/>
      <c r="E69" s="52"/>
      <c r="F69" s="55"/>
      <c r="G69" s="242"/>
      <c r="H69" s="244"/>
      <c r="I69" s="244"/>
      <c r="J69" s="244"/>
      <c r="K69" s="53"/>
      <c r="L69" s="53"/>
      <c r="M69" s="53"/>
      <c r="N69" s="53"/>
      <c r="O69" s="54"/>
      <c r="P69" s="52"/>
      <c r="Q69" s="52"/>
      <c r="R69" s="52"/>
      <c r="S69" s="52"/>
      <c r="T69" s="52"/>
      <c r="U69" s="52"/>
    </row>
    <row r="70" spans="1:21" ht="12.75" customHeight="1" x14ac:dyDescent="0.2">
      <c r="A70" s="54"/>
      <c r="B70" s="225"/>
      <c r="C70" s="225"/>
      <c r="D70" s="52"/>
      <c r="E70" s="52"/>
      <c r="F70" s="55"/>
      <c r="G70" s="242"/>
      <c r="H70" s="244"/>
      <c r="I70" s="244"/>
      <c r="J70" s="244"/>
      <c r="K70" s="53"/>
      <c r="L70" s="53"/>
      <c r="M70" s="53"/>
      <c r="N70" s="53"/>
      <c r="O70" s="54"/>
      <c r="P70" s="52"/>
      <c r="Q70" s="52"/>
      <c r="R70" s="52"/>
      <c r="S70" s="52"/>
      <c r="T70" s="52"/>
      <c r="U70" s="52"/>
    </row>
    <row r="71" spans="1:21" ht="12.75" customHeight="1" x14ac:dyDescent="0.2">
      <c r="A71" s="54"/>
      <c r="B71" s="225"/>
      <c r="C71" s="225"/>
      <c r="D71" s="52"/>
      <c r="E71" s="52"/>
      <c r="F71" s="55"/>
      <c r="G71" s="242"/>
      <c r="H71" s="244"/>
      <c r="I71" s="244"/>
      <c r="J71" s="244"/>
      <c r="K71" s="53"/>
      <c r="L71" s="53"/>
      <c r="M71" s="53"/>
      <c r="N71" s="53"/>
      <c r="O71" s="54"/>
      <c r="P71" s="52"/>
      <c r="Q71" s="52"/>
      <c r="R71" s="52"/>
      <c r="S71" s="52"/>
      <c r="T71" s="52"/>
      <c r="U71" s="52"/>
    </row>
    <row r="72" spans="1:21" ht="12.75" customHeight="1" x14ac:dyDescent="0.2">
      <c r="A72" s="54"/>
      <c r="B72" s="225"/>
      <c r="C72" s="225"/>
      <c r="D72" s="52"/>
      <c r="E72" s="52"/>
      <c r="F72" s="55"/>
      <c r="G72" s="242"/>
      <c r="H72" s="244"/>
      <c r="I72" s="244"/>
      <c r="J72" s="244"/>
      <c r="K72" s="53"/>
      <c r="L72" s="53"/>
      <c r="M72" s="53"/>
      <c r="N72" s="53"/>
      <c r="O72" s="54"/>
      <c r="P72" s="52"/>
      <c r="Q72" s="52"/>
      <c r="R72" s="52"/>
      <c r="S72" s="52"/>
      <c r="T72" s="52"/>
      <c r="U72" s="52"/>
    </row>
    <row r="73" spans="1:21" ht="12.75" customHeight="1" x14ac:dyDescent="0.2">
      <c r="A73" s="54"/>
      <c r="B73" s="225"/>
      <c r="C73" s="225"/>
      <c r="D73" s="52"/>
      <c r="E73" s="52"/>
      <c r="F73" s="55"/>
      <c r="G73" s="242"/>
      <c r="H73" s="244"/>
      <c r="I73" s="244"/>
      <c r="J73" s="244"/>
      <c r="K73" s="53"/>
      <c r="L73" s="53"/>
      <c r="M73" s="53"/>
      <c r="N73" s="53"/>
      <c r="O73" s="54"/>
      <c r="P73" s="52"/>
      <c r="Q73" s="52"/>
      <c r="R73" s="52"/>
      <c r="S73" s="52"/>
      <c r="T73" s="52"/>
      <c r="U73" s="52"/>
    </row>
    <row r="74" spans="1:21" ht="12.75" customHeight="1" x14ac:dyDescent="0.2">
      <c r="A74" s="54"/>
      <c r="B74" s="225"/>
      <c r="C74" s="225"/>
      <c r="D74" s="52"/>
      <c r="E74" s="52"/>
      <c r="F74" s="55"/>
      <c r="G74" s="242"/>
      <c r="H74" s="244"/>
      <c r="I74" s="244"/>
      <c r="J74" s="244"/>
      <c r="K74" s="53"/>
      <c r="L74" s="53"/>
      <c r="M74" s="53"/>
      <c r="N74" s="53"/>
      <c r="O74" s="54"/>
      <c r="P74" s="52"/>
      <c r="Q74" s="52"/>
      <c r="R74" s="52"/>
      <c r="S74" s="52"/>
      <c r="T74" s="52"/>
      <c r="U74" s="52"/>
    </row>
    <row r="75" spans="1:21" ht="12.75" customHeight="1" x14ac:dyDescent="0.2">
      <c r="A75" s="54"/>
      <c r="B75" s="225"/>
      <c r="C75" s="225"/>
      <c r="D75" s="52"/>
      <c r="E75" s="52"/>
      <c r="F75" s="55"/>
      <c r="G75" s="242"/>
      <c r="H75" s="244"/>
      <c r="I75" s="244"/>
      <c r="J75" s="244"/>
      <c r="K75" s="53"/>
      <c r="L75" s="53"/>
      <c r="M75" s="53"/>
      <c r="N75" s="53"/>
      <c r="O75" s="54"/>
      <c r="P75" s="52"/>
      <c r="Q75" s="52"/>
      <c r="R75" s="52"/>
      <c r="S75" s="52"/>
      <c r="T75" s="52"/>
      <c r="U75" s="52"/>
    </row>
    <row r="76" spans="1:21" ht="12.75" customHeight="1" x14ac:dyDescent="0.2">
      <c r="A76" s="54"/>
      <c r="B76" s="225"/>
      <c r="C76" s="225"/>
      <c r="D76" s="52"/>
      <c r="E76" s="52"/>
      <c r="F76" s="55"/>
      <c r="G76" s="242"/>
      <c r="H76" s="244"/>
      <c r="I76" s="244"/>
      <c r="J76" s="244"/>
      <c r="K76" s="53"/>
      <c r="L76" s="53"/>
      <c r="M76" s="53"/>
      <c r="N76" s="53"/>
      <c r="O76" s="54"/>
      <c r="P76" s="52"/>
      <c r="Q76" s="52"/>
      <c r="R76" s="52"/>
      <c r="S76" s="52"/>
      <c r="T76" s="52"/>
      <c r="U76" s="52"/>
    </row>
    <row r="77" spans="1:21" ht="12.75" customHeight="1" x14ac:dyDescent="0.2">
      <c r="A77" s="54"/>
      <c r="B77" s="225"/>
      <c r="C77" s="225"/>
      <c r="D77" s="52"/>
      <c r="E77" s="52"/>
      <c r="F77" s="55"/>
      <c r="G77" s="242"/>
      <c r="H77" s="244"/>
      <c r="I77" s="244"/>
      <c r="J77" s="244"/>
      <c r="K77" s="53"/>
      <c r="L77" s="53"/>
      <c r="M77" s="53"/>
      <c r="N77" s="53"/>
      <c r="O77" s="54"/>
      <c r="P77" s="52"/>
      <c r="Q77" s="52"/>
      <c r="R77" s="52"/>
      <c r="S77" s="52"/>
      <c r="T77" s="52"/>
      <c r="U77" s="52"/>
    </row>
    <row r="78" spans="1:21" ht="12.75" customHeight="1" x14ac:dyDescent="0.2">
      <c r="A78" s="54"/>
      <c r="B78" s="225"/>
      <c r="C78" s="225"/>
      <c r="D78" s="52"/>
      <c r="E78" s="52"/>
      <c r="F78" s="55"/>
      <c r="G78" s="242"/>
      <c r="H78" s="244"/>
      <c r="I78" s="244"/>
      <c r="J78" s="244"/>
      <c r="K78" s="53"/>
      <c r="L78" s="53"/>
      <c r="M78" s="53"/>
      <c r="N78" s="53"/>
      <c r="O78" s="54"/>
      <c r="P78" s="52"/>
      <c r="Q78" s="52"/>
      <c r="R78" s="52"/>
      <c r="S78" s="52"/>
      <c r="T78" s="52"/>
      <c r="U78" s="52"/>
    </row>
    <row r="79" spans="1:21" ht="12.75" customHeight="1" x14ac:dyDescent="0.2">
      <c r="A79" s="54"/>
      <c r="B79" s="225"/>
      <c r="C79" s="225"/>
      <c r="D79" s="52"/>
      <c r="E79" s="52"/>
      <c r="F79" s="55"/>
      <c r="G79" s="242"/>
      <c r="H79" s="244"/>
      <c r="I79" s="244"/>
      <c r="J79" s="244"/>
      <c r="K79" s="53"/>
      <c r="L79" s="53"/>
      <c r="M79" s="53"/>
      <c r="N79" s="53"/>
      <c r="O79" s="54"/>
      <c r="P79" s="52"/>
      <c r="Q79" s="52"/>
      <c r="R79" s="52"/>
      <c r="S79" s="52"/>
      <c r="T79" s="52"/>
      <c r="U79" s="52"/>
    </row>
    <row r="80" spans="1:21" ht="12.75" customHeight="1" x14ac:dyDescent="0.2">
      <c r="A80" s="54"/>
      <c r="B80" s="225"/>
      <c r="C80" s="225"/>
      <c r="D80" s="52"/>
      <c r="E80" s="52"/>
      <c r="F80" s="55"/>
      <c r="G80" s="242"/>
      <c r="H80" s="244"/>
      <c r="I80" s="244"/>
      <c r="J80" s="244"/>
      <c r="K80" s="53"/>
      <c r="L80" s="53"/>
      <c r="M80" s="53"/>
      <c r="N80" s="53"/>
      <c r="O80" s="54"/>
      <c r="P80" s="52"/>
      <c r="Q80" s="52"/>
      <c r="R80" s="52"/>
      <c r="S80" s="52"/>
      <c r="T80" s="52"/>
      <c r="U80" s="52"/>
    </row>
    <row r="81" spans="1:21" ht="12.75" customHeight="1" x14ac:dyDescent="0.2">
      <c r="A81" s="54"/>
      <c r="B81" s="225"/>
      <c r="C81" s="225"/>
      <c r="D81" s="52"/>
      <c r="E81" s="52"/>
      <c r="F81" s="55"/>
      <c r="G81" s="242"/>
      <c r="H81" s="244"/>
      <c r="I81" s="244"/>
      <c r="J81" s="244"/>
      <c r="K81" s="53"/>
      <c r="L81" s="53"/>
      <c r="M81" s="53"/>
      <c r="N81" s="53"/>
      <c r="O81" s="54"/>
      <c r="P81" s="52"/>
      <c r="Q81" s="52"/>
      <c r="R81" s="52"/>
      <c r="S81" s="52"/>
      <c r="T81" s="52"/>
      <c r="U81" s="52"/>
    </row>
  </sheetData>
  <mergeCells count="10">
    <mergeCell ref="F8:H8"/>
    <mergeCell ref="F1:J4"/>
    <mergeCell ref="A6:E8"/>
    <mergeCell ref="F6:H6"/>
    <mergeCell ref="A5:J5"/>
    <mergeCell ref="B1:E1"/>
    <mergeCell ref="B2:E2"/>
    <mergeCell ref="B3:E3"/>
    <mergeCell ref="B4:E4"/>
    <mergeCell ref="F7:H7"/>
  </mergeCells>
  <phoneticPr fontId="11" type="noConversion"/>
  <printOptions horizontalCentered="1"/>
  <pageMargins left="0.70866141732283472" right="0.70866141732283472" top="0.74803149606299213" bottom="0.74803149606299213" header="0" footer="0"/>
  <pageSetup scale="58" orientation="landscape" r:id="rId1"/>
  <headerFooter>
    <oddFooter>&amp;CPágina &amp;P de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0"/>
  <sheetViews>
    <sheetView view="pageBreakPreview" zoomScale="85" zoomScaleNormal="85" zoomScaleSheetLayoutView="85" workbookViewId="0">
      <selection activeCell="F25" sqref="F25"/>
    </sheetView>
  </sheetViews>
  <sheetFormatPr defaultColWidth="12.5703125" defaultRowHeight="12.75" x14ac:dyDescent="0.2"/>
  <cols>
    <col min="1" max="1" width="16.7109375" style="260" customWidth="1"/>
    <col min="2" max="3" width="16.7109375" style="218" customWidth="1"/>
    <col min="4" max="4" width="5.7109375" style="178" customWidth="1"/>
    <col min="5" max="5" width="70.7109375" style="178" customWidth="1"/>
    <col min="6" max="6" width="10.7109375" style="178" customWidth="1"/>
    <col min="7" max="10" width="17.7109375" style="230" customWidth="1"/>
    <col min="11" max="12" width="10.28515625" style="178" customWidth="1"/>
    <col min="13" max="13" width="8.85546875" style="178" customWidth="1"/>
    <col min="14" max="14" width="9.42578125" style="178" customWidth="1"/>
    <col min="15" max="15" width="12.140625" style="178" customWidth="1"/>
    <col min="16" max="16384" width="12.5703125" style="178"/>
  </cols>
  <sheetData>
    <row r="1" spans="1:15" ht="18.399999999999999" customHeight="1" x14ac:dyDescent="0.2">
      <c r="A1" s="256" t="s">
        <v>0</v>
      </c>
      <c r="B1" s="331" t="s">
        <v>1</v>
      </c>
      <c r="C1" s="352"/>
      <c r="D1" s="312"/>
      <c r="E1" s="313"/>
      <c r="F1" s="322" t="s">
        <v>2</v>
      </c>
      <c r="G1" s="342"/>
      <c r="H1" s="342"/>
      <c r="I1" s="342"/>
      <c r="J1" s="343"/>
      <c r="K1" s="54"/>
      <c r="L1" s="52"/>
      <c r="M1" s="52"/>
      <c r="N1" s="52"/>
      <c r="O1" s="52"/>
    </row>
    <row r="2" spans="1:15" ht="18.399999999999999" customHeight="1" x14ac:dyDescent="0.2">
      <c r="A2" s="256" t="s">
        <v>3</v>
      </c>
      <c r="B2" s="331" t="s">
        <v>300</v>
      </c>
      <c r="C2" s="352"/>
      <c r="D2" s="312"/>
      <c r="E2" s="313"/>
      <c r="F2" s="344"/>
      <c r="G2" s="345"/>
      <c r="H2" s="345"/>
      <c r="I2" s="345"/>
      <c r="J2" s="346"/>
      <c r="K2" s="54"/>
      <c r="L2" s="52"/>
      <c r="M2" s="52"/>
      <c r="N2" s="52"/>
      <c r="O2" s="52"/>
    </row>
    <row r="3" spans="1:15" ht="18.399999999999999" customHeight="1" x14ac:dyDescent="0.2">
      <c r="A3" s="256" t="s">
        <v>5</v>
      </c>
      <c r="B3" s="328" t="s">
        <v>6</v>
      </c>
      <c r="C3" s="353"/>
      <c r="D3" s="312"/>
      <c r="E3" s="313"/>
      <c r="F3" s="344"/>
      <c r="G3" s="345"/>
      <c r="H3" s="345"/>
      <c r="I3" s="345"/>
      <c r="J3" s="346"/>
      <c r="K3" s="54"/>
      <c r="L3" s="52"/>
      <c r="M3" s="52"/>
      <c r="N3" s="52"/>
      <c r="O3" s="52"/>
    </row>
    <row r="4" spans="1:15" ht="18.399999999999999" customHeight="1" x14ac:dyDescent="0.2">
      <c r="A4" s="270" t="s">
        <v>7</v>
      </c>
      <c r="B4" s="364"/>
      <c r="C4" s="365"/>
      <c r="D4" s="340"/>
      <c r="E4" s="366"/>
      <c r="F4" s="362"/>
      <c r="G4" s="363"/>
      <c r="H4" s="363"/>
      <c r="I4" s="363"/>
      <c r="J4" s="346"/>
      <c r="K4" s="54"/>
      <c r="L4" s="52"/>
      <c r="M4" s="52"/>
      <c r="N4" s="52"/>
      <c r="O4" s="52"/>
    </row>
    <row r="5" spans="1:15" ht="15" x14ac:dyDescent="0.2">
      <c r="A5" s="367" t="s">
        <v>8</v>
      </c>
      <c r="B5" s="368"/>
      <c r="C5" s="368"/>
      <c r="D5" s="368"/>
      <c r="E5" s="368"/>
      <c r="F5" s="368"/>
      <c r="G5" s="368"/>
      <c r="H5" s="368"/>
      <c r="I5" s="368"/>
      <c r="J5" s="368"/>
      <c r="K5" s="54"/>
      <c r="L5" s="52"/>
      <c r="M5" s="52"/>
      <c r="N5" s="52"/>
      <c r="O5" s="52"/>
    </row>
    <row r="6" spans="1:15" ht="15" x14ac:dyDescent="0.2">
      <c r="A6" s="360" t="s">
        <v>403</v>
      </c>
      <c r="B6" s="319"/>
      <c r="C6" s="319"/>
      <c r="D6" s="319"/>
      <c r="E6" s="325"/>
      <c r="F6" s="361" t="s">
        <v>9</v>
      </c>
      <c r="G6" s="341"/>
      <c r="H6" s="327"/>
      <c r="I6" s="231" t="s">
        <v>1140</v>
      </c>
      <c r="J6" s="232"/>
      <c r="K6" s="54"/>
      <c r="L6" s="52"/>
      <c r="M6" s="52"/>
      <c r="N6" s="52"/>
      <c r="O6" s="52"/>
    </row>
    <row r="7" spans="1:15" ht="15" x14ac:dyDescent="0.2">
      <c r="A7" s="324"/>
      <c r="B7" s="316"/>
      <c r="C7" s="316"/>
      <c r="D7" s="316"/>
      <c r="E7" s="325"/>
      <c r="F7" s="359" t="s">
        <v>10</v>
      </c>
      <c r="G7" s="312"/>
      <c r="H7" s="313"/>
      <c r="I7" s="253">
        <f>BDI!C20</f>
        <v>0.30049999999999999</v>
      </c>
      <c r="J7" s="238"/>
      <c r="K7" s="54"/>
      <c r="L7" s="52"/>
      <c r="M7" s="52"/>
      <c r="N7" s="52"/>
      <c r="O7" s="52"/>
    </row>
    <row r="8" spans="1:15" ht="15" x14ac:dyDescent="0.2">
      <c r="A8" s="326"/>
      <c r="B8" s="341"/>
      <c r="C8" s="341"/>
      <c r="D8" s="341"/>
      <c r="E8" s="327"/>
      <c r="F8" s="357" t="s">
        <v>11</v>
      </c>
      <c r="G8" s="312"/>
      <c r="H8" s="313"/>
      <c r="I8" s="253">
        <f>BDI!G20</f>
        <v>0.19900000000000001</v>
      </c>
      <c r="J8" s="234"/>
      <c r="K8" s="54"/>
      <c r="L8" s="52"/>
      <c r="M8" s="52"/>
      <c r="N8" s="52"/>
      <c r="O8" s="52"/>
    </row>
    <row r="9" spans="1:15" ht="30" x14ac:dyDescent="0.2">
      <c r="A9" s="258" t="s">
        <v>12</v>
      </c>
      <c r="B9" s="245" t="s">
        <v>39</v>
      </c>
      <c r="C9" s="245" t="s">
        <v>944</v>
      </c>
      <c r="D9" s="245" t="s">
        <v>24</v>
      </c>
      <c r="E9" s="246" t="s">
        <v>25</v>
      </c>
      <c r="F9" s="226" t="s">
        <v>26</v>
      </c>
      <c r="G9" s="247" t="s">
        <v>27</v>
      </c>
      <c r="H9" s="248" t="s">
        <v>40</v>
      </c>
      <c r="I9" s="248" t="s">
        <v>29</v>
      </c>
      <c r="J9" s="248" t="s">
        <v>30</v>
      </c>
      <c r="K9" s="54"/>
      <c r="L9" s="52"/>
      <c r="M9" s="52"/>
      <c r="N9" s="52"/>
      <c r="O9" s="52"/>
    </row>
    <row r="10" spans="1:15" ht="15" x14ac:dyDescent="0.2">
      <c r="A10" s="281">
        <v>3</v>
      </c>
      <c r="B10" s="271"/>
      <c r="C10" s="271"/>
      <c r="D10" s="271"/>
      <c r="E10" s="272" t="s">
        <v>404</v>
      </c>
      <c r="F10" s="271"/>
      <c r="G10" s="273"/>
      <c r="H10" s="274"/>
      <c r="I10" s="275"/>
      <c r="J10" s="275">
        <f>SUBTOTAL(9,J11:J140)</f>
        <v>685204.36</v>
      </c>
      <c r="K10" s="54"/>
      <c r="L10" s="52"/>
      <c r="M10" s="52"/>
      <c r="N10" s="52"/>
      <c r="O10" s="52"/>
    </row>
    <row r="11" spans="1:15" s="180" customFormat="1" x14ac:dyDescent="0.2">
      <c r="A11" s="282" t="s">
        <v>46</v>
      </c>
      <c r="B11" s="276"/>
      <c r="C11" s="276"/>
      <c r="D11" s="276"/>
      <c r="E11" s="277" t="s">
        <v>765</v>
      </c>
      <c r="F11" s="276"/>
      <c r="G11" s="278"/>
      <c r="H11" s="279" t="s">
        <v>38</v>
      </c>
      <c r="I11" s="280"/>
      <c r="J11" s="280">
        <f>SUBTOTAL(9,J12:J12)</f>
        <v>13005</v>
      </c>
      <c r="K11" s="54"/>
      <c r="L11" s="58"/>
      <c r="M11" s="52"/>
      <c r="N11" s="52"/>
      <c r="O11" s="52"/>
    </row>
    <row r="12" spans="1:15" s="180" customFormat="1" ht="25.5" x14ac:dyDescent="0.2">
      <c r="A12" s="266" t="s">
        <v>47</v>
      </c>
      <c r="B12" s="220" t="s">
        <v>1110</v>
      </c>
      <c r="C12" s="220" t="s">
        <v>57</v>
      </c>
      <c r="D12" s="210" t="s">
        <v>32</v>
      </c>
      <c r="E12" s="211" t="s">
        <v>767</v>
      </c>
      <c r="F12" s="209" t="s">
        <v>45</v>
      </c>
      <c r="G12" s="204">
        <v>1</v>
      </c>
      <c r="H12" s="212">
        <v>10000</v>
      </c>
      <c r="I12" s="212">
        <f>ROUND(IF(D12="S",(H12*(1+$I$7)),(H12*(1+$I$8))),2)</f>
        <v>13005</v>
      </c>
      <c r="J12" s="212">
        <f>ROUND(G12*I12,2)</f>
        <v>13005</v>
      </c>
      <c r="K12" s="54"/>
      <c r="L12" s="58"/>
      <c r="M12" s="52"/>
      <c r="N12" s="52"/>
      <c r="O12" s="52"/>
    </row>
    <row r="13" spans="1:15" x14ac:dyDescent="0.2">
      <c r="A13" s="282" t="s">
        <v>368</v>
      </c>
      <c r="B13" s="276"/>
      <c r="C13" s="276"/>
      <c r="D13" s="276"/>
      <c r="E13" s="277" t="s">
        <v>301</v>
      </c>
      <c r="F13" s="276"/>
      <c r="G13" s="278"/>
      <c r="H13" s="279">
        <v>0</v>
      </c>
      <c r="I13" s="280"/>
      <c r="J13" s="280">
        <f>SUBTOTAL(9,J14:J76)</f>
        <v>337061.93000000005</v>
      </c>
      <c r="K13" s="57"/>
      <c r="L13" s="58"/>
      <c r="M13" s="52"/>
      <c r="N13" s="52"/>
      <c r="O13" s="52"/>
    </row>
    <row r="14" spans="1:15" x14ac:dyDescent="0.2">
      <c r="A14" s="282" t="s">
        <v>369</v>
      </c>
      <c r="B14" s="276"/>
      <c r="C14" s="276"/>
      <c r="D14" s="276"/>
      <c r="E14" s="277" t="s">
        <v>91</v>
      </c>
      <c r="F14" s="276"/>
      <c r="G14" s="278"/>
      <c r="H14" s="279">
        <v>0</v>
      </c>
      <c r="I14" s="280"/>
      <c r="J14" s="280">
        <f>SUBTOTAL(9,J15:J17)</f>
        <v>3475.31</v>
      </c>
      <c r="K14" s="57"/>
      <c r="L14" s="58"/>
      <c r="M14" s="52"/>
      <c r="N14" s="52"/>
      <c r="O14" s="52"/>
    </row>
    <row r="15" spans="1:15" s="180" customFormat="1" ht="25.5" x14ac:dyDescent="0.2">
      <c r="A15" s="266" t="s">
        <v>370</v>
      </c>
      <c r="B15" s="220" t="s">
        <v>1110</v>
      </c>
      <c r="C15" s="220" t="s">
        <v>57</v>
      </c>
      <c r="D15" s="210" t="s">
        <v>32</v>
      </c>
      <c r="E15" s="211" t="s">
        <v>766</v>
      </c>
      <c r="F15" s="209" t="s">
        <v>45</v>
      </c>
      <c r="G15" s="204">
        <v>1</v>
      </c>
      <c r="H15" s="212">
        <v>1000</v>
      </c>
      <c r="I15" s="212">
        <f>ROUND(IF(D15="S",(H15*(1+$I$7)),(H15*(1+$I$8))),2)</f>
        <v>1300.5</v>
      </c>
      <c r="J15" s="212">
        <f>ROUND(G15*I15,2)</f>
        <v>1300.5</v>
      </c>
      <c r="K15" s="57"/>
      <c r="L15" s="58"/>
      <c r="M15" s="52"/>
      <c r="N15" s="52"/>
      <c r="O15" s="52"/>
    </row>
    <row r="16" spans="1:15" ht="25.5" x14ac:dyDescent="0.2">
      <c r="A16" s="266" t="s">
        <v>371</v>
      </c>
      <c r="B16" s="220">
        <v>93358</v>
      </c>
      <c r="C16" s="220" t="s">
        <v>1132</v>
      </c>
      <c r="D16" s="210" t="s">
        <v>32</v>
      </c>
      <c r="E16" s="211" t="s">
        <v>1151</v>
      </c>
      <c r="F16" s="209" t="s">
        <v>93</v>
      </c>
      <c r="G16" s="204">
        <v>9</v>
      </c>
      <c r="H16" s="212">
        <v>67.599999999999994</v>
      </c>
      <c r="I16" s="212">
        <f>ROUND(IF(D16="S",(H16*(1+$I$7)),(H16*(1+$I$8))),2)</f>
        <v>87.91</v>
      </c>
      <c r="J16" s="212">
        <f>ROUND(G16*I16,2)</f>
        <v>791.19</v>
      </c>
      <c r="K16" s="57"/>
      <c r="L16" s="58"/>
      <c r="M16" s="58"/>
      <c r="N16" s="52"/>
      <c r="O16" s="46"/>
    </row>
    <row r="17" spans="1:15" ht="25.5" x14ac:dyDescent="0.2">
      <c r="A17" s="266" t="s">
        <v>372</v>
      </c>
      <c r="B17" s="220">
        <v>89173</v>
      </c>
      <c r="C17" s="220" t="s">
        <v>1132</v>
      </c>
      <c r="D17" s="210" t="s">
        <v>32</v>
      </c>
      <c r="E17" s="211" t="s">
        <v>768</v>
      </c>
      <c r="F17" s="209" t="s">
        <v>92</v>
      </c>
      <c r="G17" s="204">
        <v>27.75</v>
      </c>
      <c r="H17" s="212">
        <v>38.340000000000003</v>
      </c>
      <c r="I17" s="212">
        <f>ROUND(IF(D17="S",(H17*(1+$I$7)),(H17*(1+$I$8))),2)</f>
        <v>49.86</v>
      </c>
      <c r="J17" s="212">
        <f>ROUND(G17*I17,2)</f>
        <v>1383.62</v>
      </c>
      <c r="K17" s="57"/>
      <c r="L17" s="58"/>
      <c r="M17" s="58"/>
      <c r="N17" s="52"/>
      <c r="O17" s="46"/>
    </row>
    <row r="18" spans="1:15" ht="15" x14ac:dyDescent="0.2">
      <c r="A18" s="282" t="s">
        <v>373</v>
      </c>
      <c r="B18" s="276"/>
      <c r="C18" s="276"/>
      <c r="D18" s="276"/>
      <c r="E18" s="277" t="s">
        <v>302</v>
      </c>
      <c r="F18" s="276"/>
      <c r="G18" s="278"/>
      <c r="H18" s="279">
        <v>0</v>
      </c>
      <c r="I18" s="280"/>
      <c r="J18" s="280">
        <f>SUBTOTAL(9,J19)</f>
        <v>26010</v>
      </c>
      <c r="K18" s="57"/>
      <c r="L18" s="58"/>
      <c r="M18" s="58"/>
      <c r="N18" s="52"/>
      <c r="O18" s="46"/>
    </row>
    <row r="19" spans="1:15" ht="15" x14ac:dyDescent="0.2">
      <c r="A19" s="266" t="s">
        <v>374</v>
      </c>
      <c r="B19" s="220" t="s">
        <v>1110</v>
      </c>
      <c r="C19" s="220" t="s">
        <v>57</v>
      </c>
      <c r="D19" s="210" t="s">
        <v>32</v>
      </c>
      <c r="E19" s="211" t="s">
        <v>770</v>
      </c>
      <c r="F19" s="209" t="s">
        <v>35</v>
      </c>
      <c r="G19" s="204">
        <v>100</v>
      </c>
      <c r="H19" s="212">
        <v>200</v>
      </c>
      <c r="I19" s="212">
        <f>ROUND(IF(D19="S",(H19*(1+$I$7)),(H19*(1+$I$8))),2)</f>
        <v>260.10000000000002</v>
      </c>
      <c r="J19" s="212">
        <f>ROUND(G19*I19,2)</f>
        <v>26010</v>
      </c>
      <c r="K19" s="57"/>
      <c r="L19" s="58"/>
      <c r="M19" s="58"/>
      <c r="N19" s="52"/>
      <c r="O19" s="46"/>
    </row>
    <row r="20" spans="1:15" ht="15" x14ac:dyDescent="0.2">
      <c r="A20" s="282" t="s">
        <v>375</v>
      </c>
      <c r="B20" s="276"/>
      <c r="C20" s="276"/>
      <c r="D20" s="276"/>
      <c r="E20" s="277" t="s">
        <v>303</v>
      </c>
      <c r="F20" s="276"/>
      <c r="G20" s="278"/>
      <c r="H20" s="279">
        <v>0</v>
      </c>
      <c r="I20" s="280"/>
      <c r="J20" s="280">
        <f>SUBTOTAL(9,J21)</f>
        <v>11054</v>
      </c>
      <c r="K20" s="57"/>
      <c r="L20" s="58"/>
      <c r="M20" s="58"/>
      <c r="N20" s="52"/>
      <c r="O20" s="46"/>
    </row>
    <row r="21" spans="1:15" ht="15" x14ac:dyDescent="0.2">
      <c r="A21" s="266" t="s">
        <v>771</v>
      </c>
      <c r="B21" s="220" t="s">
        <v>1110</v>
      </c>
      <c r="C21" s="220" t="s">
        <v>57</v>
      </c>
      <c r="D21" s="210" t="s">
        <v>32</v>
      </c>
      <c r="E21" s="211" t="s">
        <v>323</v>
      </c>
      <c r="F21" s="209" t="s">
        <v>35</v>
      </c>
      <c r="G21" s="204">
        <v>100</v>
      </c>
      <c r="H21" s="212">
        <v>85</v>
      </c>
      <c r="I21" s="212">
        <f>ROUND(IF(D21="S",(H21*(1+$I$7)),(H21*(1+$I$8))),2)</f>
        <v>110.54</v>
      </c>
      <c r="J21" s="212">
        <f>ROUND(G21*I21,2)</f>
        <v>11054</v>
      </c>
      <c r="K21" s="57"/>
      <c r="L21" s="58"/>
      <c r="M21" s="58"/>
      <c r="N21" s="52"/>
      <c r="O21" s="46"/>
    </row>
    <row r="22" spans="1:15" ht="15" x14ac:dyDescent="0.2">
      <c r="A22" s="282" t="s">
        <v>376</v>
      </c>
      <c r="B22" s="276"/>
      <c r="C22" s="276"/>
      <c r="D22" s="276"/>
      <c r="E22" s="277" t="s">
        <v>304</v>
      </c>
      <c r="F22" s="276"/>
      <c r="G22" s="278"/>
      <c r="H22" s="279">
        <v>0</v>
      </c>
      <c r="I22" s="280"/>
      <c r="J22" s="280">
        <f>SUBTOTAL(9,J23:J24)</f>
        <v>7959.06</v>
      </c>
      <c r="K22" s="57"/>
      <c r="L22" s="58"/>
      <c r="M22" s="58"/>
      <c r="N22" s="52"/>
      <c r="O22" s="46"/>
    </row>
    <row r="23" spans="1:15" ht="15" x14ac:dyDescent="0.2">
      <c r="A23" s="266" t="s">
        <v>377</v>
      </c>
      <c r="B23" s="220" t="s">
        <v>1110</v>
      </c>
      <c r="C23" s="220" t="s">
        <v>57</v>
      </c>
      <c r="D23" s="210" t="s">
        <v>32</v>
      </c>
      <c r="E23" s="211" t="s">
        <v>773</v>
      </c>
      <c r="F23" s="209" t="s">
        <v>35</v>
      </c>
      <c r="G23" s="204">
        <v>6</v>
      </c>
      <c r="H23" s="212">
        <v>100</v>
      </c>
      <c r="I23" s="212">
        <f>ROUND(IF(D23="S",(H23*(1+$I$7)),(H23*(1+$I$8))),2)</f>
        <v>130.05000000000001</v>
      </c>
      <c r="J23" s="212">
        <f>ROUND(G23*I23,2)</f>
        <v>780.3</v>
      </c>
      <c r="K23" s="57"/>
      <c r="L23" s="58"/>
      <c r="M23" s="58"/>
      <c r="N23" s="52"/>
      <c r="O23" s="46"/>
    </row>
    <row r="24" spans="1:15" s="180" customFormat="1" ht="25.5" x14ac:dyDescent="0.2">
      <c r="A24" s="266" t="s">
        <v>378</v>
      </c>
      <c r="B24" s="220" t="s">
        <v>1110</v>
      </c>
      <c r="C24" s="220" t="s">
        <v>57</v>
      </c>
      <c r="D24" s="210" t="s">
        <v>32</v>
      </c>
      <c r="E24" s="211" t="s">
        <v>772</v>
      </c>
      <c r="F24" s="209" t="s">
        <v>35</v>
      </c>
      <c r="G24" s="204">
        <v>6</v>
      </c>
      <c r="H24" s="212">
        <v>920</v>
      </c>
      <c r="I24" s="212">
        <f>ROUND(IF(D24="S",(H24*(1+$I$7)),(H24*(1+$I$8))),2)</f>
        <v>1196.46</v>
      </c>
      <c r="J24" s="212">
        <f>ROUND(G24*I24,2)</f>
        <v>7178.76</v>
      </c>
      <c r="K24" s="57"/>
      <c r="L24" s="58"/>
      <c r="M24" s="58"/>
      <c r="N24" s="52"/>
      <c r="O24" s="46"/>
    </row>
    <row r="25" spans="1:15" ht="15" x14ac:dyDescent="0.2">
      <c r="A25" s="282" t="s">
        <v>379</v>
      </c>
      <c r="B25" s="276"/>
      <c r="C25" s="276"/>
      <c r="D25" s="276"/>
      <c r="E25" s="277" t="s">
        <v>774</v>
      </c>
      <c r="F25" s="276"/>
      <c r="G25" s="278"/>
      <c r="H25" s="279">
        <v>0</v>
      </c>
      <c r="I25" s="280"/>
      <c r="J25" s="280">
        <f>SUBTOTAL(9,J26:J27)</f>
        <v>65422</v>
      </c>
      <c r="K25" s="57"/>
      <c r="L25" s="58"/>
      <c r="M25" s="58"/>
      <c r="N25" s="52"/>
      <c r="O25" s="46"/>
    </row>
    <row r="26" spans="1:15" ht="15" x14ac:dyDescent="0.2">
      <c r="A26" s="266" t="s">
        <v>380</v>
      </c>
      <c r="B26" s="220" t="s">
        <v>1110</v>
      </c>
      <c r="C26" s="220" t="s">
        <v>57</v>
      </c>
      <c r="D26" s="210" t="s">
        <v>32</v>
      </c>
      <c r="E26" s="211" t="s">
        <v>775</v>
      </c>
      <c r="F26" s="209" t="s">
        <v>35</v>
      </c>
      <c r="G26" s="204">
        <v>100</v>
      </c>
      <c r="H26" s="212">
        <v>251.53</v>
      </c>
      <c r="I26" s="212">
        <f>ROUND(IF(D26="S",(H26*(1+$I$7)),(H26*(1+$I$8))),2)</f>
        <v>327.11</v>
      </c>
      <c r="J26" s="212">
        <f>ROUND(G26*I26,2)</f>
        <v>32711</v>
      </c>
      <c r="K26" s="57"/>
      <c r="L26" s="58"/>
      <c r="M26" s="58"/>
      <c r="N26" s="52"/>
      <c r="O26" s="46"/>
    </row>
    <row r="27" spans="1:15" s="181" customFormat="1" ht="15" x14ac:dyDescent="0.2">
      <c r="A27" s="266" t="s">
        <v>786</v>
      </c>
      <c r="B27" s="220" t="s">
        <v>1110</v>
      </c>
      <c r="C27" s="220" t="s">
        <v>57</v>
      </c>
      <c r="D27" s="210" t="s">
        <v>32</v>
      </c>
      <c r="E27" s="211" t="s">
        <v>776</v>
      </c>
      <c r="F27" s="209" t="s">
        <v>35</v>
      </c>
      <c r="G27" s="204">
        <v>100</v>
      </c>
      <c r="H27" s="212">
        <v>251.53</v>
      </c>
      <c r="I27" s="212">
        <f>ROUND(IF(D27="S",(H27*(1+$I$7)),(H27*(1+$I$8))),2)</f>
        <v>327.11</v>
      </c>
      <c r="J27" s="212">
        <f>ROUND(G27*I27,2)</f>
        <v>32711</v>
      </c>
      <c r="K27" s="57"/>
      <c r="L27" s="58"/>
      <c r="M27" s="58"/>
      <c r="N27" s="52"/>
      <c r="O27" s="46"/>
    </row>
    <row r="28" spans="1:15" ht="15" x14ac:dyDescent="0.2">
      <c r="A28" s="282" t="s">
        <v>381</v>
      </c>
      <c r="B28" s="276"/>
      <c r="C28" s="276"/>
      <c r="D28" s="276"/>
      <c r="E28" s="277" t="s">
        <v>305</v>
      </c>
      <c r="F28" s="276"/>
      <c r="G28" s="278"/>
      <c r="H28" s="279">
        <v>0</v>
      </c>
      <c r="I28" s="280"/>
      <c r="J28" s="280">
        <f>SUBTOTAL(9,J29:J32)</f>
        <v>120634.98999999999</v>
      </c>
      <c r="K28" s="57"/>
      <c r="L28" s="58"/>
      <c r="M28" s="58"/>
      <c r="N28" s="52"/>
      <c r="O28" s="46"/>
    </row>
    <row r="29" spans="1:15" ht="38.25" x14ac:dyDescent="0.2">
      <c r="A29" s="266" t="s">
        <v>382</v>
      </c>
      <c r="B29" s="220" t="s">
        <v>1110</v>
      </c>
      <c r="C29" s="220" t="s">
        <v>57</v>
      </c>
      <c r="D29" s="210" t="s">
        <v>49</v>
      </c>
      <c r="E29" s="211" t="s">
        <v>310</v>
      </c>
      <c r="F29" s="209" t="s">
        <v>35</v>
      </c>
      <c r="G29" s="204">
        <v>80</v>
      </c>
      <c r="H29" s="212">
        <v>450</v>
      </c>
      <c r="I29" s="212">
        <f>ROUND(IF(D29="S",(H29*(1+$I$7)),(H29*(1+$I$8))),2)</f>
        <v>539.54999999999995</v>
      </c>
      <c r="J29" s="212">
        <f>ROUND(G29*I29,2)</f>
        <v>43164</v>
      </c>
      <c r="K29" s="57"/>
      <c r="L29" s="58"/>
      <c r="M29" s="58"/>
      <c r="N29" s="52"/>
      <c r="O29" s="46"/>
    </row>
    <row r="30" spans="1:15" ht="51" x14ac:dyDescent="0.2">
      <c r="A30" s="266" t="s">
        <v>383</v>
      </c>
      <c r="B30" s="220" t="s">
        <v>1110</v>
      </c>
      <c r="C30" s="220" t="s">
        <v>57</v>
      </c>
      <c r="D30" s="210" t="s">
        <v>49</v>
      </c>
      <c r="E30" s="211" t="s">
        <v>311</v>
      </c>
      <c r="F30" s="209" t="s">
        <v>35</v>
      </c>
      <c r="G30" s="204">
        <v>20</v>
      </c>
      <c r="H30" s="212">
        <v>2790</v>
      </c>
      <c r="I30" s="212">
        <f>ROUND(IF(D30="S",(H30*(1+$I$7)),(H30*(1+$I$8))),2)</f>
        <v>3345.21</v>
      </c>
      <c r="J30" s="212">
        <f>ROUND(G30*I30,2)</f>
        <v>66904.2</v>
      </c>
      <c r="K30" s="57"/>
      <c r="L30" s="58"/>
      <c r="M30" s="58"/>
      <c r="N30" s="52"/>
      <c r="O30" s="46"/>
    </row>
    <row r="31" spans="1:15" s="181" customFormat="1" ht="15" x14ac:dyDescent="0.2">
      <c r="A31" s="266" t="s">
        <v>384</v>
      </c>
      <c r="B31" s="220" t="s">
        <v>1110</v>
      </c>
      <c r="C31" s="220" t="s">
        <v>57</v>
      </c>
      <c r="D31" s="210" t="s">
        <v>49</v>
      </c>
      <c r="E31" s="211" t="s">
        <v>777</v>
      </c>
      <c r="F31" s="209" t="s">
        <v>45</v>
      </c>
      <c r="G31" s="204">
        <v>1</v>
      </c>
      <c r="H31" s="212">
        <v>350</v>
      </c>
      <c r="I31" s="212">
        <f>ROUND(IF(D31="S",(H31*(1+$I$7)),(H31*(1+$I$8))),2)</f>
        <v>419.65</v>
      </c>
      <c r="J31" s="212">
        <f>ROUND(G31*I31,2)</f>
        <v>419.65</v>
      </c>
      <c r="K31" s="57"/>
      <c r="L31" s="58"/>
      <c r="M31" s="58"/>
      <c r="N31" s="52"/>
      <c r="O31" s="46"/>
    </row>
    <row r="32" spans="1:15" ht="38.25" x14ac:dyDescent="0.2">
      <c r="A32" s="266" t="s">
        <v>787</v>
      </c>
      <c r="B32" s="220" t="s">
        <v>1110</v>
      </c>
      <c r="C32" s="220" t="s">
        <v>57</v>
      </c>
      <c r="D32" s="210" t="s">
        <v>49</v>
      </c>
      <c r="E32" s="211" t="s">
        <v>312</v>
      </c>
      <c r="F32" s="209" t="s">
        <v>93</v>
      </c>
      <c r="G32" s="204">
        <v>9.1</v>
      </c>
      <c r="H32" s="212">
        <v>930</v>
      </c>
      <c r="I32" s="212">
        <f>ROUND(IF(D32="S",(H32*(1+$I$7)),(H32*(1+$I$8))),2)</f>
        <v>1115.07</v>
      </c>
      <c r="J32" s="212">
        <f>ROUND(G32*I32,2)</f>
        <v>10147.14</v>
      </c>
      <c r="K32" s="57"/>
      <c r="L32" s="58"/>
      <c r="M32" s="58"/>
      <c r="N32" s="52"/>
      <c r="O32" s="46"/>
    </row>
    <row r="33" spans="1:15" ht="15" x14ac:dyDescent="0.2">
      <c r="A33" s="282" t="s">
        <v>385</v>
      </c>
      <c r="B33" s="276"/>
      <c r="C33" s="276"/>
      <c r="D33" s="276"/>
      <c r="E33" s="277" t="s">
        <v>306</v>
      </c>
      <c r="F33" s="276"/>
      <c r="G33" s="278"/>
      <c r="H33" s="279">
        <v>0</v>
      </c>
      <c r="I33" s="280"/>
      <c r="J33" s="280">
        <f>SUBTOTAL(9,J34:J36)</f>
        <v>6138.43</v>
      </c>
      <c r="K33" s="57"/>
      <c r="L33" s="58"/>
      <c r="M33" s="58"/>
      <c r="N33" s="52"/>
      <c r="O33" s="46"/>
    </row>
    <row r="34" spans="1:15" ht="15" x14ac:dyDescent="0.2">
      <c r="A34" s="266" t="s">
        <v>386</v>
      </c>
      <c r="B34" s="220" t="s">
        <v>1110</v>
      </c>
      <c r="C34" s="220" t="s">
        <v>57</v>
      </c>
      <c r="D34" s="210" t="s">
        <v>32</v>
      </c>
      <c r="E34" s="211" t="s">
        <v>313</v>
      </c>
      <c r="F34" s="209" t="s">
        <v>66</v>
      </c>
      <c r="G34" s="204">
        <v>72</v>
      </c>
      <c r="H34" s="212">
        <v>40</v>
      </c>
      <c r="I34" s="212">
        <f>ROUND(IF(D34="S",(H34*(1+$I$7)),(H34*(1+$I$8))),2)</f>
        <v>52.02</v>
      </c>
      <c r="J34" s="212">
        <f>ROUND(G34*I34,2)</f>
        <v>3745.44</v>
      </c>
      <c r="K34" s="57"/>
      <c r="L34" s="58"/>
      <c r="M34" s="58"/>
      <c r="N34" s="52"/>
      <c r="O34" s="46"/>
    </row>
    <row r="35" spans="1:15" s="181" customFormat="1" ht="15" x14ac:dyDescent="0.2">
      <c r="A35" s="266" t="s">
        <v>387</v>
      </c>
      <c r="B35" s="220" t="s">
        <v>1110</v>
      </c>
      <c r="C35" s="220" t="s">
        <v>57</v>
      </c>
      <c r="D35" s="210" t="s">
        <v>32</v>
      </c>
      <c r="E35" s="211" t="s">
        <v>778</v>
      </c>
      <c r="F35" s="209" t="s">
        <v>45</v>
      </c>
      <c r="G35" s="204">
        <v>1</v>
      </c>
      <c r="H35" s="212">
        <v>300</v>
      </c>
      <c r="I35" s="212">
        <f>ROUND(IF(D35="S",(H35*(1+$I$7)),(H35*(1+$I$8))),2)</f>
        <v>390.15</v>
      </c>
      <c r="J35" s="212">
        <f>ROUND(G35*I35,2)</f>
        <v>390.15</v>
      </c>
      <c r="K35" s="57"/>
      <c r="L35" s="58"/>
      <c r="M35" s="58"/>
      <c r="N35" s="52"/>
      <c r="O35" s="46"/>
    </row>
    <row r="36" spans="1:15" ht="15" x14ac:dyDescent="0.2">
      <c r="A36" s="266" t="s">
        <v>788</v>
      </c>
      <c r="B36" s="220" t="s">
        <v>1110</v>
      </c>
      <c r="C36" s="220" t="s">
        <v>57</v>
      </c>
      <c r="D36" s="210" t="s">
        <v>32</v>
      </c>
      <c r="E36" s="211" t="s">
        <v>314</v>
      </c>
      <c r="F36" s="209" t="s">
        <v>66</v>
      </c>
      <c r="G36" s="204">
        <v>28</v>
      </c>
      <c r="H36" s="212">
        <v>55</v>
      </c>
      <c r="I36" s="212">
        <f>ROUND(IF(D36="S",(H36*(1+$I$7)),(H36*(1+$I$8))),2)</f>
        <v>71.53</v>
      </c>
      <c r="J36" s="212">
        <f>ROUND(G36*I36,2)</f>
        <v>2002.84</v>
      </c>
      <c r="K36" s="57"/>
      <c r="L36" s="58"/>
      <c r="M36" s="58"/>
      <c r="N36" s="52"/>
      <c r="O36" s="46"/>
    </row>
    <row r="37" spans="1:15" ht="15" x14ac:dyDescent="0.2">
      <c r="A37" s="282" t="s">
        <v>388</v>
      </c>
      <c r="B37" s="276"/>
      <c r="C37" s="276"/>
      <c r="D37" s="276"/>
      <c r="E37" s="277" t="s">
        <v>307</v>
      </c>
      <c r="F37" s="276"/>
      <c r="G37" s="278"/>
      <c r="H37" s="279">
        <v>0</v>
      </c>
      <c r="I37" s="280"/>
      <c r="J37" s="280">
        <f>SUBTOTAL(9,J38)</f>
        <v>4135.8</v>
      </c>
      <c r="K37" s="57"/>
      <c r="L37" s="58"/>
      <c r="M37" s="58"/>
      <c r="N37" s="52"/>
      <c r="O37" s="46"/>
    </row>
    <row r="38" spans="1:15" ht="25.5" x14ac:dyDescent="0.2">
      <c r="A38" s="266" t="s">
        <v>389</v>
      </c>
      <c r="B38" s="220" t="s">
        <v>1110</v>
      </c>
      <c r="C38" s="220" t="s">
        <v>57</v>
      </c>
      <c r="D38" s="210" t="s">
        <v>32</v>
      </c>
      <c r="E38" s="211" t="s">
        <v>322</v>
      </c>
      <c r="F38" s="209" t="s">
        <v>35</v>
      </c>
      <c r="G38" s="204">
        <v>60</v>
      </c>
      <c r="H38" s="212">
        <v>53</v>
      </c>
      <c r="I38" s="212">
        <f>ROUND(IF(D38="S",(H38*(1+$I$7)),(H38*(1+$I$8))),2)</f>
        <v>68.930000000000007</v>
      </c>
      <c r="J38" s="212">
        <f>ROUND(G38*I38,2)</f>
        <v>4135.8</v>
      </c>
      <c r="K38" s="57"/>
      <c r="L38" s="58"/>
      <c r="M38" s="58"/>
      <c r="N38" s="52"/>
      <c r="O38" s="46"/>
    </row>
    <row r="39" spans="1:15" ht="15" x14ac:dyDescent="0.2">
      <c r="A39" s="282" t="s">
        <v>390</v>
      </c>
      <c r="B39" s="276"/>
      <c r="C39" s="276"/>
      <c r="D39" s="276"/>
      <c r="E39" s="277" t="s">
        <v>308</v>
      </c>
      <c r="F39" s="276"/>
      <c r="G39" s="278"/>
      <c r="H39" s="279">
        <v>0</v>
      </c>
      <c r="I39" s="280"/>
      <c r="J39" s="280">
        <f>SUBTOTAL(9,J40)</f>
        <v>1466.96</v>
      </c>
      <c r="K39" s="57"/>
      <c r="L39" s="58"/>
      <c r="M39" s="58"/>
      <c r="N39" s="52"/>
      <c r="O39" s="46"/>
    </row>
    <row r="40" spans="1:15" ht="38.25" x14ac:dyDescent="0.2">
      <c r="A40" s="266" t="s">
        <v>391</v>
      </c>
      <c r="B40" s="220" t="s">
        <v>1110</v>
      </c>
      <c r="C40" s="220" t="s">
        <v>57</v>
      </c>
      <c r="D40" s="210" t="s">
        <v>32</v>
      </c>
      <c r="E40" s="211" t="s">
        <v>779</v>
      </c>
      <c r="F40" s="209" t="s">
        <v>93</v>
      </c>
      <c r="G40" s="204">
        <v>1.2</v>
      </c>
      <c r="H40" s="212">
        <v>940</v>
      </c>
      <c r="I40" s="212">
        <f>ROUND(IF(D40="S",(H40*(1+$I$7)),(H40*(1+$I$8))),2)</f>
        <v>1222.47</v>
      </c>
      <c r="J40" s="212">
        <f>ROUND(G40*I40,2)</f>
        <v>1466.96</v>
      </c>
      <c r="K40" s="57"/>
      <c r="L40" s="58"/>
      <c r="M40" s="58"/>
      <c r="N40" s="52"/>
      <c r="O40" s="46"/>
    </row>
    <row r="41" spans="1:15" ht="15" x14ac:dyDescent="0.2">
      <c r="A41" s="282" t="s">
        <v>392</v>
      </c>
      <c r="B41" s="276"/>
      <c r="C41" s="276"/>
      <c r="D41" s="276"/>
      <c r="E41" s="277" t="s">
        <v>298</v>
      </c>
      <c r="F41" s="276"/>
      <c r="G41" s="278"/>
      <c r="H41" s="279">
        <v>0</v>
      </c>
      <c r="I41" s="280"/>
      <c r="J41" s="280">
        <f>SUBTOTAL(9,J42:J43)</f>
        <v>2731.05</v>
      </c>
      <c r="K41" s="57"/>
      <c r="L41" s="58"/>
      <c r="M41" s="58"/>
      <c r="N41" s="52"/>
      <c r="O41" s="46"/>
    </row>
    <row r="42" spans="1:15" ht="15" x14ac:dyDescent="0.2">
      <c r="A42" s="266" t="s">
        <v>393</v>
      </c>
      <c r="B42" s="220" t="s">
        <v>1110</v>
      </c>
      <c r="C42" s="220" t="s">
        <v>57</v>
      </c>
      <c r="D42" s="210" t="s">
        <v>32</v>
      </c>
      <c r="E42" s="211" t="s">
        <v>315</v>
      </c>
      <c r="F42" s="209" t="s">
        <v>45</v>
      </c>
      <c r="G42" s="204">
        <v>1</v>
      </c>
      <c r="H42" s="212">
        <v>600</v>
      </c>
      <c r="I42" s="212">
        <f>ROUND(IF(D42="S",(H42*(1+$I$7)),(H42*(1+$I$8))),2)</f>
        <v>780.3</v>
      </c>
      <c r="J42" s="212">
        <f>ROUND(G42*I42,2)</f>
        <v>780.3</v>
      </c>
      <c r="K42" s="57"/>
      <c r="L42" s="58"/>
      <c r="M42" s="58"/>
      <c r="N42" s="52"/>
      <c r="O42" s="46"/>
    </row>
    <row r="43" spans="1:15" ht="25.5" x14ac:dyDescent="0.2">
      <c r="A43" s="266" t="s">
        <v>394</v>
      </c>
      <c r="B43" s="220" t="s">
        <v>1110</v>
      </c>
      <c r="C43" s="220" t="s">
        <v>57</v>
      </c>
      <c r="D43" s="210" t="s">
        <v>32</v>
      </c>
      <c r="E43" s="211" t="s">
        <v>324</v>
      </c>
      <c r="F43" s="209" t="s">
        <v>45</v>
      </c>
      <c r="G43" s="204">
        <v>1</v>
      </c>
      <c r="H43" s="212">
        <v>1500</v>
      </c>
      <c r="I43" s="212">
        <f>ROUND(IF(D43="S",(H43*(1+$I$7)),(H43*(1+$I$8))),2)</f>
        <v>1950.75</v>
      </c>
      <c r="J43" s="212">
        <f>ROUND(G43*I43,2)</f>
        <v>1950.75</v>
      </c>
      <c r="K43" s="57"/>
      <c r="L43" s="58"/>
      <c r="M43" s="58"/>
      <c r="N43" s="52"/>
      <c r="O43" s="46"/>
    </row>
    <row r="44" spans="1:15" ht="15" x14ac:dyDescent="0.2">
      <c r="A44" s="282" t="s">
        <v>395</v>
      </c>
      <c r="B44" s="276"/>
      <c r="C44" s="276"/>
      <c r="D44" s="276"/>
      <c r="E44" s="277" t="s">
        <v>309</v>
      </c>
      <c r="F44" s="276"/>
      <c r="G44" s="278"/>
      <c r="H44" s="279">
        <v>0</v>
      </c>
      <c r="I44" s="280"/>
      <c r="J44" s="280">
        <f>SUBTOTAL(9,J45:J65)</f>
        <v>80228.490000000005</v>
      </c>
      <c r="K44" s="57"/>
      <c r="L44" s="58"/>
      <c r="M44" s="58"/>
      <c r="N44" s="52"/>
      <c r="O44" s="46"/>
    </row>
    <row r="45" spans="1:15" ht="38.25" x14ac:dyDescent="0.2">
      <c r="A45" s="266" t="s">
        <v>396</v>
      </c>
      <c r="B45" s="220" t="s">
        <v>764</v>
      </c>
      <c r="C45" s="220" t="s">
        <v>57</v>
      </c>
      <c r="D45" s="210" t="s">
        <v>49</v>
      </c>
      <c r="E45" s="211" t="s">
        <v>319</v>
      </c>
      <c r="F45" s="209" t="s">
        <v>35</v>
      </c>
      <c r="G45" s="204">
        <v>40</v>
      </c>
      <c r="H45" s="212">
        <v>297.58999999999997</v>
      </c>
      <c r="I45" s="212">
        <f t="shared" ref="I45:I65" si="0">ROUND(IF(D45="S",(H45*(1+$I$7)),(H45*(1+$I$8))),2)</f>
        <v>356.81</v>
      </c>
      <c r="J45" s="212">
        <f t="shared" ref="J45:J65" si="1">ROUND(G45*I45,2)</f>
        <v>14272.4</v>
      </c>
      <c r="K45" s="57"/>
      <c r="L45" s="58"/>
      <c r="M45" s="58"/>
      <c r="N45" s="52"/>
      <c r="O45" s="46"/>
    </row>
    <row r="46" spans="1:15" ht="25.5" x14ac:dyDescent="0.2">
      <c r="A46" s="266" t="s">
        <v>397</v>
      </c>
      <c r="B46" s="220" t="s">
        <v>764</v>
      </c>
      <c r="C46" s="220" t="s">
        <v>57</v>
      </c>
      <c r="D46" s="210" t="s">
        <v>49</v>
      </c>
      <c r="E46" s="211" t="s">
        <v>320</v>
      </c>
      <c r="F46" s="209" t="s">
        <v>158</v>
      </c>
      <c r="G46" s="204">
        <v>4</v>
      </c>
      <c r="H46" s="212">
        <v>2719.2</v>
      </c>
      <c r="I46" s="212">
        <f t="shared" si="0"/>
        <v>3260.32</v>
      </c>
      <c r="J46" s="212">
        <f t="shared" si="1"/>
        <v>13041.28</v>
      </c>
      <c r="K46" s="57"/>
      <c r="L46" s="58"/>
      <c r="M46" s="58"/>
      <c r="N46" s="52"/>
      <c r="O46" s="46"/>
    </row>
    <row r="47" spans="1:15" ht="25.5" x14ac:dyDescent="0.2">
      <c r="A47" s="266" t="s">
        <v>398</v>
      </c>
      <c r="B47" s="220" t="s">
        <v>764</v>
      </c>
      <c r="C47" s="220" t="s">
        <v>57</v>
      </c>
      <c r="D47" s="210" t="s">
        <v>49</v>
      </c>
      <c r="E47" s="211" t="s">
        <v>321</v>
      </c>
      <c r="F47" s="209" t="s">
        <v>45</v>
      </c>
      <c r="G47" s="204">
        <v>2</v>
      </c>
      <c r="H47" s="212">
        <v>1278.76</v>
      </c>
      <c r="I47" s="212">
        <f t="shared" si="0"/>
        <v>1533.23</v>
      </c>
      <c r="J47" s="212">
        <f t="shared" si="1"/>
        <v>3066.46</v>
      </c>
      <c r="K47" s="57"/>
      <c r="L47" s="58"/>
      <c r="M47" s="58"/>
      <c r="N47" s="52"/>
      <c r="O47" s="166"/>
    </row>
    <row r="48" spans="1:15" ht="15" x14ac:dyDescent="0.2">
      <c r="A48" s="266" t="s">
        <v>399</v>
      </c>
      <c r="B48" s="220" t="s">
        <v>764</v>
      </c>
      <c r="C48" s="220" t="s">
        <v>57</v>
      </c>
      <c r="D48" s="210" t="s">
        <v>49</v>
      </c>
      <c r="E48" s="211" t="s">
        <v>316</v>
      </c>
      <c r="F48" s="209" t="s">
        <v>45</v>
      </c>
      <c r="G48" s="204">
        <v>25</v>
      </c>
      <c r="H48" s="212">
        <v>17.559999999999999</v>
      </c>
      <c r="I48" s="212">
        <f t="shared" si="0"/>
        <v>21.05</v>
      </c>
      <c r="J48" s="212">
        <f t="shared" si="1"/>
        <v>526.25</v>
      </c>
      <c r="K48" s="57"/>
      <c r="L48" s="58"/>
      <c r="M48" s="58"/>
      <c r="N48" s="52"/>
      <c r="O48" s="166"/>
    </row>
    <row r="49" spans="1:15" ht="15" x14ac:dyDescent="0.2">
      <c r="A49" s="266" t="s">
        <v>400</v>
      </c>
      <c r="B49" s="220" t="s">
        <v>764</v>
      </c>
      <c r="C49" s="220" t="s">
        <v>57</v>
      </c>
      <c r="D49" s="210" t="s">
        <v>49</v>
      </c>
      <c r="E49" s="211" t="s">
        <v>317</v>
      </c>
      <c r="F49" s="209" t="s">
        <v>45</v>
      </c>
      <c r="G49" s="204">
        <v>25</v>
      </c>
      <c r="H49" s="212">
        <v>11.17</v>
      </c>
      <c r="I49" s="212">
        <f t="shared" si="0"/>
        <v>13.39</v>
      </c>
      <c r="J49" s="212">
        <f t="shared" si="1"/>
        <v>334.75</v>
      </c>
      <c r="K49" s="57"/>
      <c r="L49" s="58"/>
      <c r="M49" s="58"/>
      <c r="N49" s="52"/>
      <c r="O49" s="166"/>
    </row>
    <row r="50" spans="1:15" ht="15" x14ac:dyDescent="0.2">
      <c r="A50" s="266" t="s">
        <v>401</v>
      </c>
      <c r="B50" s="220">
        <v>9859</v>
      </c>
      <c r="C50" s="220" t="s">
        <v>1132</v>
      </c>
      <c r="D50" s="210" t="s">
        <v>49</v>
      </c>
      <c r="E50" s="211" t="s">
        <v>318</v>
      </c>
      <c r="F50" s="209" t="s">
        <v>35</v>
      </c>
      <c r="G50" s="204">
        <v>60</v>
      </c>
      <c r="H50" s="212">
        <v>11.24</v>
      </c>
      <c r="I50" s="212">
        <f t="shared" si="0"/>
        <v>13.48</v>
      </c>
      <c r="J50" s="212">
        <f t="shared" si="1"/>
        <v>808.8</v>
      </c>
      <c r="K50" s="57"/>
      <c r="L50" s="58"/>
      <c r="M50" s="58"/>
      <c r="N50" s="52"/>
      <c r="O50" s="166"/>
    </row>
    <row r="51" spans="1:15" ht="15" x14ac:dyDescent="0.2">
      <c r="A51" s="266" t="s">
        <v>844</v>
      </c>
      <c r="B51" s="220" t="s">
        <v>793</v>
      </c>
      <c r="C51" s="220" t="s">
        <v>44</v>
      </c>
      <c r="D51" s="210" t="s">
        <v>49</v>
      </c>
      <c r="E51" s="211" t="s">
        <v>327</v>
      </c>
      <c r="F51" s="209" t="s">
        <v>45</v>
      </c>
      <c r="G51" s="235">
        <v>1</v>
      </c>
      <c r="H51" s="212">
        <v>607.89</v>
      </c>
      <c r="I51" s="212">
        <f t="shared" si="0"/>
        <v>728.86</v>
      </c>
      <c r="J51" s="212">
        <f t="shared" si="1"/>
        <v>728.86</v>
      </c>
      <c r="K51" s="57"/>
      <c r="L51" s="58"/>
      <c r="M51" s="58"/>
      <c r="N51" s="52"/>
      <c r="O51" s="166"/>
    </row>
    <row r="52" spans="1:15" ht="25.5" x14ac:dyDescent="0.2">
      <c r="A52" s="266" t="s">
        <v>845</v>
      </c>
      <c r="B52" s="220" t="s">
        <v>794</v>
      </c>
      <c r="C52" s="220" t="s">
        <v>44</v>
      </c>
      <c r="D52" s="210" t="s">
        <v>49</v>
      </c>
      <c r="E52" s="211" t="s">
        <v>328</v>
      </c>
      <c r="F52" s="209" t="s">
        <v>45</v>
      </c>
      <c r="G52" s="204">
        <v>1</v>
      </c>
      <c r="H52" s="212">
        <v>665.05</v>
      </c>
      <c r="I52" s="212">
        <f t="shared" si="0"/>
        <v>797.39</v>
      </c>
      <c r="J52" s="212">
        <f t="shared" si="1"/>
        <v>797.39</v>
      </c>
      <c r="K52" s="57"/>
      <c r="L52" s="58"/>
      <c r="M52" s="58"/>
      <c r="N52" s="52"/>
      <c r="O52" s="166"/>
    </row>
    <row r="53" spans="1:15" ht="15" x14ac:dyDescent="0.2">
      <c r="A53" s="266" t="s">
        <v>846</v>
      </c>
      <c r="B53" s="220" t="s">
        <v>780</v>
      </c>
      <c r="C53" s="220" t="s">
        <v>57</v>
      </c>
      <c r="D53" s="210" t="s">
        <v>49</v>
      </c>
      <c r="E53" s="211" t="s">
        <v>260</v>
      </c>
      <c r="F53" s="209" t="s">
        <v>158</v>
      </c>
      <c r="G53" s="204">
        <v>1</v>
      </c>
      <c r="H53" s="212">
        <v>742.13</v>
      </c>
      <c r="I53" s="212">
        <f t="shared" si="0"/>
        <v>889.81</v>
      </c>
      <c r="J53" s="212">
        <f t="shared" si="1"/>
        <v>889.81</v>
      </c>
      <c r="K53" s="57"/>
      <c r="L53" s="58"/>
      <c r="M53" s="58"/>
      <c r="N53" s="52"/>
      <c r="O53" s="166"/>
    </row>
    <row r="54" spans="1:15" ht="15" x14ac:dyDescent="0.2">
      <c r="A54" s="266" t="s">
        <v>847</v>
      </c>
      <c r="B54" s="220" t="s">
        <v>781</v>
      </c>
      <c r="C54" s="220" t="s">
        <v>57</v>
      </c>
      <c r="D54" s="210" t="s">
        <v>49</v>
      </c>
      <c r="E54" s="211" t="s">
        <v>758</v>
      </c>
      <c r="F54" s="209" t="s">
        <v>158</v>
      </c>
      <c r="G54" s="204">
        <v>1</v>
      </c>
      <c r="H54" s="212">
        <v>1465.9</v>
      </c>
      <c r="I54" s="212">
        <f t="shared" si="0"/>
        <v>1757.61</v>
      </c>
      <c r="J54" s="212">
        <f t="shared" si="1"/>
        <v>1757.61</v>
      </c>
      <c r="K54" s="57"/>
      <c r="L54" s="58"/>
      <c r="M54" s="58"/>
      <c r="N54" s="52"/>
      <c r="O54" s="166"/>
    </row>
    <row r="55" spans="1:15" ht="15" x14ac:dyDescent="0.2">
      <c r="A55" s="266" t="s">
        <v>848</v>
      </c>
      <c r="B55" s="220" t="s">
        <v>782</v>
      </c>
      <c r="C55" s="220" t="s">
        <v>57</v>
      </c>
      <c r="D55" s="210" t="s">
        <v>49</v>
      </c>
      <c r="E55" s="211" t="s">
        <v>759</v>
      </c>
      <c r="F55" s="209" t="s">
        <v>45</v>
      </c>
      <c r="G55" s="204">
        <v>1</v>
      </c>
      <c r="H55" s="212">
        <v>830.96</v>
      </c>
      <c r="I55" s="212">
        <f t="shared" si="0"/>
        <v>996.32</v>
      </c>
      <c r="J55" s="212">
        <f t="shared" si="1"/>
        <v>996.32</v>
      </c>
      <c r="K55" s="57"/>
      <c r="L55" s="58"/>
      <c r="M55" s="58"/>
      <c r="N55" s="52"/>
      <c r="O55" s="166"/>
    </row>
    <row r="56" spans="1:15" ht="15" x14ac:dyDescent="0.2">
      <c r="A56" s="266" t="s">
        <v>849</v>
      </c>
      <c r="B56" s="220" t="s">
        <v>1076</v>
      </c>
      <c r="C56" s="220" t="s">
        <v>365</v>
      </c>
      <c r="D56" s="210" t="s">
        <v>49</v>
      </c>
      <c r="E56" s="211" t="s">
        <v>760</v>
      </c>
      <c r="F56" s="209" t="s">
        <v>158</v>
      </c>
      <c r="G56" s="204">
        <v>1</v>
      </c>
      <c r="H56" s="212">
        <v>420.88</v>
      </c>
      <c r="I56" s="212">
        <f t="shared" si="0"/>
        <v>504.64</v>
      </c>
      <c r="J56" s="212">
        <f t="shared" si="1"/>
        <v>504.64</v>
      </c>
      <c r="K56" s="57"/>
      <c r="L56" s="58"/>
      <c r="M56" s="58"/>
      <c r="N56" s="52"/>
      <c r="O56" s="166"/>
    </row>
    <row r="57" spans="1:15" ht="25.5" x14ac:dyDescent="0.2">
      <c r="A57" s="266" t="s">
        <v>850</v>
      </c>
      <c r="B57" s="220" t="s">
        <v>783</v>
      </c>
      <c r="C57" s="220" t="s">
        <v>57</v>
      </c>
      <c r="D57" s="210" t="s">
        <v>49</v>
      </c>
      <c r="E57" s="211" t="s">
        <v>325</v>
      </c>
      <c r="F57" s="209" t="s">
        <v>158</v>
      </c>
      <c r="G57" s="204">
        <v>2</v>
      </c>
      <c r="H57" s="212">
        <v>1610.16</v>
      </c>
      <c r="I57" s="212">
        <f t="shared" si="0"/>
        <v>1930.58</v>
      </c>
      <c r="J57" s="212">
        <f t="shared" si="1"/>
        <v>3861.16</v>
      </c>
      <c r="K57" s="57"/>
      <c r="L57" s="58"/>
      <c r="M57" s="58"/>
      <c r="N57" s="52"/>
      <c r="O57" s="166"/>
    </row>
    <row r="58" spans="1:15" ht="15" x14ac:dyDescent="0.2">
      <c r="A58" s="266" t="s">
        <v>851</v>
      </c>
      <c r="B58" s="220" t="s">
        <v>784</v>
      </c>
      <c r="C58" s="220" t="s">
        <v>57</v>
      </c>
      <c r="D58" s="210" t="s">
        <v>49</v>
      </c>
      <c r="E58" s="211" t="s">
        <v>761</v>
      </c>
      <c r="F58" s="209" t="s">
        <v>158</v>
      </c>
      <c r="G58" s="204">
        <v>1</v>
      </c>
      <c r="H58" s="212">
        <v>249.17</v>
      </c>
      <c r="I58" s="212">
        <f t="shared" si="0"/>
        <v>298.75</v>
      </c>
      <c r="J58" s="212">
        <f t="shared" si="1"/>
        <v>298.75</v>
      </c>
      <c r="K58" s="57"/>
      <c r="L58" s="58"/>
      <c r="M58" s="58"/>
      <c r="N58" s="52"/>
      <c r="O58" s="166"/>
    </row>
    <row r="59" spans="1:15" s="179" customFormat="1" ht="15" x14ac:dyDescent="0.2">
      <c r="A59" s="266" t="s">
        <v>852</v>
      </c>
      <c r="B59" s="220" t="s">
        <v>785</v>
      </c>
      <c r="C59" s="220" t="s">
        <v>57</v>
      </c>
      <c r="D59" s="210" t="s">
        <v>49</v>
      </c>
      <c r="E59" s="211" t="s">
        <v>763</v>
      </c>
      <c r="F59" s="209" t="s">
        <v>158</v>
      </c>
      <c r="G59" s="204">
        <v>1</v>
      </c>
      <c r="H59" s="212">
        <v>167</v>
      </c>
      <c r="I59" s="212">
        <f t="shared" si="0"/>
        <v>200.23</v>
      </c>
      <c r="J59" s="212">
        <f t="shared" si="1"/>
        <v>200.23</v>
      </c>
      <c r="K59" s="57"/>
      <c r="L59" s="58"/>
      <c r="M59" s="58"/>
      <c r="N59" s="52"/>
      <c r="O59" s="166"/>
    </row>
    <row r="60" spans="1:15" ht="15" x14ac:dyDescent="0.2">
      <c r="A60" s="266" t="s">
        <v>853</v>
      </c>
      <c r="B60" s="220" t="s">
        <v>1083</v>
      </c>
      <c r="C60" s="220" t="s">
        <v>365</v>
      </c>
      <c r="D60" s="210" t="s">
        <v>49</v>
      </c>
      <c r="E60" s="211" t="s">
        <v>762</v>
      </c>
      <c r="F60" s="209" t="s">
        <v>45</v>
      </c>
      <c r="G60" s="204">
        <v>1</v>
      </c>
      <c r="H60" s="212">
        <v>2670</v>
      </c>
      <c r="I60" s="212">
        <f t="shared" si="0"/>
        <v>3201.33</v>
      </c>
      <c r="J60" s="212">
        <f t="shared" si="1"/>
        <v>3201.33</v>
      </c>
      <c r="K60" s="57"/>
      <c r="L60" s="58"/>
      <c r="M60" s="58"/>
      <c r="N60" s="52"/>
      <c r="O60" s="166"/>
    </row>
    <row r="61" spans="1:15" ht="38.25" x14ac:dyDescent="0.2">
      <c r="A61" s="266" t="s">
        <v>854</v>
      </c>
      <c r="B61" s="220" t="s">
        <v>842</v>
      </c>
      <c r="C61" s="220" t="s">
        <v>57</v>
      </c>
      <c r="D61" s="210" t="s">
        <v>49</v>
      </c>
      <c r="E61" s="211" t="s">
        <v>840</v>
      </c>
      <c r="F61" s="209" t="s">
        <v>158</v>
      </c>
      <c r="G61" s="204">
        <v>72</v>
      </c>
      <c r="H61" s="212">
        <v>19.75</v>
      </c>
      <c r="I61" s="212">
        <f t="shared" si="0"/>
        <v>23.68</v>
      </c>
      <c r="J61" s="212">
        <f t="shared" si="1"/>
        <v>1704.96</v>
      </c>
      <c r="K61" s="57"/>
      <c r="L61" s="58"/>
      <c r="M61" s="58"/>
      <c r="N61" s="52"/>
      <c r="O61" s="166"/>
    </row>
    <row r="62" spans="1:15" s="187" customFormat="1" ht="63.75" x14ac:dyDescent="0.2">
      <c r="A62" s="266" t="s">
        <v>855</v>
      </c>
      <c r="B62" s="220" t="s">
        <v>843</v>
      </c>
      <c r="C62" s="220" t="s">
        <v>57</v>
      </c>
      <c r="D62" s="210" t="s">
        <v>49</v>
      </c>
      <c r="E62" s="211" t="s">
        <v>841</v>
      </c>
      <c r="F62" s="209" t="s">
        <v>158</v>
      </c>
      <c r="G62" s="204">
        <v>8</v>
      </c>
      <c r="H62" s="212">
        <v>36.5</v>
      </c>
      <c r="I62" s="212">
        <f t="shared" si="0"/>
        <v>43.76</v>
      </c>
      <c r="J62" s="212">
        <f t="shared" si="1"/>
        <v>350.08</v>
      </c>
      <c r="K62" s="57"/>
      <c r="L62" s="58"/>
      <c r="M62" s="58"/>
      <c r="N62" s="52"/>
      <c r="O62" s="166"/>
    </row>
    <row r="63" spans="1:15" ht="15" x14ac:dyDescent="0.2">
      <c r="A63" s="266" t="s">
        <v>856</v>
      </c>
      <c r="B63" s="220" t="s">
        <v>1082</v>
      </c>
      <c r="C63" s="220" t="s">
        <v>57</v>
      </c>
      <c r="D63" s="210" t="s">
        <v>49</v>
      </c>
      <c r="E63" s="211" t="s">
        <v>838</v>
      </c>
      <c r="F63" s="209" t="s">
        <v>158</v>
      </c>
      <c r="G63" s="204">
        <v>7</v>
      </c>
      <c r="H63" s="212">
        <v>15.71</v>
      </c>
      <c r="I63" s="212">
        <f t="shared" si="0"/>
        <v>18.84</v>
      </c>
      <c r="J63" s="212">
        <f t="shared" si="1"/>
        <v>131.88</v>
      </c>
      <c r="K63" s="57"/>
      <c r="L63" s="58"/>
      <c r="M63" s="58"/>
      <c r="N63" s="52"/>
      <c r="O63" s="166"/>
    </row>
    <row r="64" spans="1:15" ht="15" x14ac:dyDescent="0.2">
      <c r="A64" s="266" t="s">
        <v>857</v>
      </c>
      <c r="B64" s="220" t="s">
        <v>1082</v>
      </c>
      <c r="C64" s="220" t="s">
        <v>57</v>
      </c>
      <c r="D64" s="210" t="s">
        <v>49</v>
      </c>
      <c r="E64" s="211" t="s">
        <v>839</v>
      </c>
      <c r="F64" s="209" t="s">
        <v>158</v>
      </c>
      <c r="G64" s="204">
        <v>1</v>
      </c>
      <c r="H64" s="212">
        <v>19.04</v>
      </c>
      <c r="I64" s="212">
        <f t="shared" si="0"/>
        <v>22.83</v>
      </c>
      <c r="J64" s="212">
        <f t="shared" si="1"/>
        <v>22.83</v>
      </c>
      <c r="K64" s="57"/>
      <c r="L64" s="58"/>
      <c r="M64" s="58"/>
      <c r="N64" s="52"/>
      <c r="O64" s="166"/>
    </row>
    <row r="65" spans="1:15" ht="25.5" x14ac:dyDescent="0.2">
      <c r="A65" s="266" t="s">
        <v>858</v>
      </c>
      <c r="B65" s="220" t="s">
        <v>789</v>
      </c>
      <c r="C65" s="220" t="s">
        <v>57</v>
      </c>
      <c r="D65" s="210" t="s">
        <v>49</v>
      </c>
      <c r="E65" s="211" t="s">
        <v>326</v>
      </c>
      <c r="F65" s="209" t="s">
        <v>68</v>
      </c>
      <c r="G65" s="204">
        <v>1</v>
      </c>
      <c r="H65" s="212">
        <v>27300</v>
      </c>
      <c r="I65" s="212">
        <f t="shared" si="0"/>
        <v>32732.7</v>
      </c>
      <c r="J65" s="212">
        <f t="shared" si="1"/>
        <v>32732.7</v>
      </c>
      <c r="K65" s="57"/>
      <c r="L65" s="58"/>
      <c r="M65" s="58"/>
      <c r="N65" s="52"/>
      <c r="O65" s="166"/>
    </row>
    <row r="66" spans="1:15" ht="15" x14ac:dyDescent="0.2">
      <c r="A66" s="282" t="s">
        <v>952</v>
      </c>
      <c r="B66" s="276"/>
      <c r="C66" s="276"/>
      <c r="D66" s="276"/>
      <c r="E66" s="277" t="s">
        <v>329</v>
      </c>
      <c r="F66" s="276"/>
      <c r="G66" s="278"/>
      <c r="H66" s="279">
        <v>0</v>
      </c>
      <c r="I66" s="280"/>
      <c r="J66" s="280">
        <f>SUBTOTAL(9,J67:J74)</f>
        <v>7608.96</v>
      </c>
      <c r="K66" s="57"/>
      <c r="L66" s="58"/>
      <c r="M66" s="58"/>
      <c r="N66" s="52"/>
      <c r="O66" s="166"/>
    </row>
    <row r="67" spans="1:15" s="180" customFormat="1" ht="51" x14ac:dyDescent="0.2">
      <c r="A67" s="266" t="s">
        <v>953</v>
      </c>
      <c r="B67" s="220" t="s">
        <v>950</v>
      </c>
      <c r="C67" s="220" t="s">
        <v>44</v>
      </c>
      <c r="D67" s="210" t="s">
        <v>32</v>
      </c>
      <c r="E67" s="211" t="s">
        <v>1079</v>
      </c>
      <c r="F67" s="209" t="s">
        <v>35</v>
      </c>
      <c r="G67" s="204">
        <v>40</v>
      </c>
      <c r="H67" s="212">
        <v>98.26</v>
      </c>
      <c r="I67" s="212">
        <f t="shared" ref="I67:I74" si="2">ROUND(IF(D67="S",(H67*(1+$I$7)),(H67*(1+$I$8))),2)</f>
        <v>127.79</v>
      </c>
      <c r="J67" s="212">
        <f t="shared" ref="J67:J74" si="3">ROUND(G67*I67,2)</f>
        <v>5111.6000000000004</v>
      </c>
      <c r="K67" s="57"/>
      <c r="L67" s="58"/>
      <c r="M67" s="58"/>
      <c r="N67" s="52"/>
      <c r="O67" s="166"/>
    </row>
    <row r="68" spans="1:15" ht="38.25" x14ac:dyDescent="0.2">
      <c r="A68" s="266" t="s">
        <v>954</v>
      </c>
      <c r="B68" s="220" t="s">
        <v>947</v>
      </c>
      <c r="C68" s="220" t="s">
        <v>44</v>
      </c>
      <c r="D68" s="210" t="s">
        <v>32</v>
      </c>
      <c r="E68" s="211" t="s">
        <v>1000</v>
      </c>
      <c r="F68" s="209" t="s">
        <v>45</v>
      </c>
      <c r="G68" s="235">
        <v>1</v>
      </c>
      <c r="H68" s="212">
        <v>75.069999999999993</v>
      </c>
      <c r="I68" s="212">
        <f t="shared" si="2"/>
        <v>97.63</v>
      </c>
      <c r="J68" s="212">
        <f t="shared" si="3"/>
        <v>97.63</v>
      </c>
      <c r="K68" s="57"/>
      <c r="L68" s="58"/>
      <c r="M68" s="58"/>
      <c r="N68" s="52"/>
      <c r="O68" s="166"/>
    </row>
    <row r="69" spans="1:15" ht="38.25" x14ac:dyDescent="0.2">
      <c r="A69" s="266" t="s">
        <v>955</v>
      </c>
      <c r="B69" s="220" t="s">
        <v>946</v>
      </c>
      <c r="C69" s="220" t="s">
        <v>44</v>
      </c>
      <c r="D69" s="210" t="s">
        <v>32</v>
      </c>
      <c r="E69" s="211" t="s">
        <v>988</v>
      </c>
      <c r="F69" s="209" t="s">
        <v>45</v>
      </c>
      <c r="G69" s="204">
        <v>9</v>
      </c>
      <c r="H69" s="212">
        <v>41.27</v>
      </c>
      <c r="I69" s="212">
        <f t="shared" si="2"/>
        <v>53.67</v>
      </c>
      <c r="J69" s="212">
        <f t="shared" si="3"/>
        <v>483.03</v>
      </c>
      <c r="K69" s="57"/>
      <c r="L69" s="58"/>
      <c r="M69" s="58"/>
      <c r="N69" s="52"/>
      <c r="O69" s="166"/>
    </row>
    <row r="70" spans="1:15" ht="15" x14ac:dyDescent="0.2">
      <c r="A70" s="266" t="s">
        <v>956</v>
      </c>
      <c r="B70" s="220" t="s">
        <v>945</v>
      </c>
      <c r="C70" s="220" t="s">
        <v>365</v>
      </c>
      <c r="D70" s="210" t="s">
        <v>32</v>
      </c>
      <c r="E70" s="211" t="s">
        <v>759</v>
      </c>
      <c r="F70" s="209" t="s">
        <v>45</v>
      </c>
      <c r="G70" s="204">
        <v>1</v>
      </c>
      <c r="H70" s="212">
        <v>11.23</v>
      </c>
      <c r="I70" s="212">
        <f t="shared" si="2"/>
        <v>14.6</v>
      </c>
      <c r="J70" s="212">
        <f t="shared" si="3"/>
        <v>14.6</v>
      </c>
      <c r="K70" s="57"/>
      <c r="L70" s="58"/>
      <c r="M70" s="58"/>
      <c r="N70" s="52"/>
      <c r="O70" s="166"/>
    </row>
    <row r="71" spans="1:15" ht="38.25" x14ac:dyDescent="0.2">
      <c r="A71" s="266" t="s">
        <v>957</v>
      </c>
      <c r="B71" s="220" t="s">
        <v>948</v>
      </c>
      <c r="C71" s="220" t="s">
        <v>44</v>
      </c>
      <c r="D71" s="210" t="s">
        <v>32</v>
      </c>
      <c r="E71" s="211" t="s">
        <v>1080</v>
      </c>
      <c r="F71" s="209" t="s">
        <v>45</v>
      </c>
      <c r="G71" s="204">
        <v>1</v>
      </c>
      <c r="H71" s="212">
        <v>55.59</v>
      </c>
      <c r="I71" s="212">
        <f t="shared" si="2"/>
        <v>72.290000000000006</v>
      </c>
      <c r="J71" s="212">
        <f t="shared" si="3"/>
        <v>72.290000000000006</v>
      </c>
      <c r="K71" s="57"/>
      <c r="L71" s="58"/>
      <c r="M71" s="58"/>
      <c r="N71" s="52"/>
      <c r="O71" s="166"/>
    </row>
    <row r="72" spans="1:15" ht="25.5" x14ac:dyDescent="0.2">
      <c r="A72" s="266" t="s">
        <v>958</v>
      </c>
      <c r="B72" s="220" t="s">
        <v>945</v>
      </c>
      <c r="C72" s="220" t="s">
        <v>365</v>
      </c>
      <c r="D72" s="210" t="s">
        <v>32</v>
      </c>
      <c r="E72" s="211" t="s">
        <v>325</v>
      </c>
      <c r="F72" s="209" t="s">
        <v>158</v>
      </c>
      <c r="G72" s="204">
        <v>2</v>
      </c>
      <c r="H72" s="212">
        <v>11.23</v>
      </c>
      <c r="I72" s="212">
        <f t="shared" si="2"/>
        <v>14.6</v>
      </c>
      <c r="J72" s="212">
        <f t="shared" si="3"/>
        <v>29.2</v>
      </c>
      <c r="K72" s="57"/>
      <c r="L72" s="58"/>
      <c r="M72" s="58"/>
      <c r="N72" s="52"/>
      <c r="O72" s="166"/>
    </row>
    <row r="73" spans="1:15" ht="25.5" x14ac:dyDescent="0.2">
      <c r="A73" s="266" t="s">
        <v>959</v>
      </c>
      <c r="B73" s="220" t="s">
        <v>949</v>
      </c>
      <c r="C73" s="220" t="s">
        <v>44</v>
      </c>
      <c r="D73" s="210" t="s">
        <v>32</v>
      </c>
      <c r="E73" s="211" t="s">
        <v>999</v>
      </c>
      <c r="F73" s="209" t="s">
        <v>35</v>
      </c>
      <c r="G73" s="204">
        <v>2.5</v>
      </c>
      <c r="H73" s="212">
        <v>9.93</v>
      </c>
      <c r="I73" s="212">
        <f t="shared" si="2"/>
        <v>12.91</v>
      </c>
      <c r="J73" s="212">
        <f t="shared" si="3"/>
        <v>32.28</v>
      </c>
      <c r="K73" s="57"/>
      <c r="L73" s="58"/>
      <c r="M73" s="58"/>
      <c r="N73" s="52"/>
      <c r="O73" s="166"/>
    </row>
    <row r="74" spans="1:15" ht="25.5" x14ac:dyDescent="0.2">
      <c r="A74" s="266" t="s">
        <v>960</v>
      </c>
      <c r="B74" s="220" t="s">
        <v>951</v>
      </c>
      <c r="C74" s="220" t="s">
        <v>44</v>
      </c>
      <c r="D74" s="210" t="s">
        <v>32</v>
      </c>
      <c r="E74" s="211" t="s">
        <v>1095</v>
      </c>
      <c r="F74" s="209" t="s">
        <v>68</v>
      </c>
      <c r="G74" s="204">
        <v>1</v>
      </c>
      <c r="H74" s="212">
        <v>1359.73</v>
      </c>
      <c r="I74" s="212">
        <f t="shared" si="2"/>
        <v>1768.33</v>
      </c>
      <c r="J74" s="212">
        <f t="shared" si="3"/>
        <v>1768.33</v>
      </c>
      <c r="K74" s="57"/>
      <c r="L74" s="58"/>
      <c r="M74" s="58"/>
      <c r="N74" s="52"/>
      <c r="O74" s="166"/>
    </row>
    <row r="75" spans="1:15" ht="15" x14ac:dyDescent="0.2">
      <c r="A75" s="282" t="s">
        <v>402</v>
      </c>
      <c r="B75" s="276"/>
      <c r="C75" s="276"/>
      <c r="D75" s="276"/>
      <c r="E75" s="277" t="s">
        <v>330</v>
      </c>
      <c r="F75" s="276"/>
      <c r="G75" s="278"/>
      <c r="H75" s="279">
        <v>0</v>
      </c>
      <c r="I75" s="280"/>
      <c r="J75" s="280">
        <f>SUBTOTAL(9,J76:J76)</f>
        <v>196.88</v>
      </c>
      <c r="K75" s="57"/>
      <c r="L75" s="58"/>
      <c r="M75" s="58"/>
      <c r="N75" s="52"/>
      <c r="O75" s="166"/>
    </row>
    <row r="76" spans="1:15" ht="38.25" x14ac:dyDescent="0.2">
      <c r="A76" s="266" t="s">
        <v>739</v>
      </c>
      <c r="B76" s="306">
        <v>94966</v>
      </c>
      <c r="C76" s="220" t="s">
        <v>1132</v>
      </c>
      <c r="D76" s="210" t="s">
        <v>32</v>
      </c>
      <c r="E76" s="211" t="s">
        <v>222</v>
      </c>
      <c r="F76" s="209" t="s">
        <v>93</v>
      </c>
      <c r="G76" s="204">
        <v>0.3</v>
      </c>
      <c r="H76" s="212">
        <v>504.62</v>
      </c>
      <c r="I76" s="212">
        <f>ROUND(IF(D76="S",(H76*(1+$I$7)),(H76*(1+$I$8))),2)</f>
        <v>656.26</v>
      </c>
      <c r="J76" s="212">
        <f>ROUND(G76*I76,2)</f>
        <v>196.88</v>
      </c>
      <c r="K76" s="57"/>
      <c r="L76" s="58"/>
      <c r="M76" s="58"/>
      <c r="N76" s="52"/>
      <c r="O76" s="166"/>
    </row>
    <row r="77" spans="1:15" x14ac:dyDescent="0.2">
      <c r="A77" s="282" t="s">
        <v>859</v>
      </c>
      <c r="B77" s="276"/>
      <c r="C77" s="276"/>
      <c r="D77" s="276"/>
      <c r="E77" s="277" t="s">
        <v>757</v>
      </c>
      <c r="F77" s="276"/>
      <c r="G77" s="278"/>
      <c r="H77" s="279">
        <v>0</v>
      </c>
      <c r="I77" s="280"/>
      <c r="J77" s="280">
        <f>SUBTOTAL(9,J78:J140)</f>
        <v>335137.43000000005</v>
      </c>
      <c r="K77" s="54"/>
      <c r="L77" s="58"/>
      <c r="M77" s="52"/>
      <c r="N77" s="52"/>
      <c r="O77" s="52"/>
    </row>
    <row r="78" spans="1:15" x14ac:dyDescent="0.2">
      <c r="A78" s="282" t="s">
        <v>860</v>
      </c>
      <c r="B78" s="276"/>
      <c r="C78" s="276"/>
      <c r="D78" s="276"/>
      <c r="E78" s="277" t="s">
        <v>91</v>
      </c>
      <c r="F78" s="276"/>
      <c r="G78" s="278"/>
      <c r="H78" s="279">
        <v>0</v>
      </c>
      <c r="I78" s="280"/>
      <c r="J78" s="280">
        <f>SUBTOTAL(9,J79:J81)</f>
        <v>2777.3900000000003</v>
      </c>
      <c r="K78" s="54"/>
      <c r="L78" s="58"/>
      <c r="M78" s="52"/>
      <c r="N78" s="52"/>
      <c r="O78" s="52"/>
    </row>
    <row r="79" spans="1:15" ht="25.5" x14ac:dyDescent="0.2">
      <c r="A79" s="266" t="s">
        <v>861</v>
      </c>
      <c r="B79" s="220" t="s">
        <v>1110</v>
      </c>
      <c r="C79" s="220" t="s">
        <v>57</v>
      </c>
      <c r="D79" s="210" t="s">
        <v>32</v>
      </c>
      <c r="E79" s="211" t="s">
        <v>766</v>
      </c>
      <c r="F79" s="209" t="s">
        <v>45</v>
      </c>
      <c r="G79" s="204">
        <v>1</v>
      </c>
      <c r="H79" s="212">
        <v>1000</v>
      </c>
      <c r="I79" s="212">
        <f>ROUND(IF(D79="S",(H79*(1+$I$7)),(H79*(1+$I$8))),2)</f>
        <v>1300.5</v>
      </c>
      <c r="J79" s="212">
        <f>ROUND(G79*I79,2)</f>
        <v>1300.5</v>
      </c>
      <c r="L79" s="58"/>
    </row>
    <row r="80" spans="1:15" ht="38.25" x14ac:dyDescent="0.2">
      <c r="A80" s="266" t="s">
        <v>862</v>
      </c>
      <c r="B80" s="220">
        <v>93358</v>
      </c>
      <c r="C80" s="220" t="s">
        <v>1132</v>
      </c>
      <c r="D80" s="210" t="s">
        <v>32</v>
      </c>
      <c r="E80" s="211" t="s">
        <v>769</v>
      </c>
      <c r="F80" s="209" t="s">
        <v>93</v>
      </c>
      <c r="G80" s="204">
        <v>9</v>
      </c>
      <c r="H80" s="212">
        <v>67.599999999999994</v>
      </c>
      <c r="I80" s="212">
        <f>ROUND(IF(D80="S",(H80*(1+$I$7)),(H80*(1+$I$8))),2)</f>
        <v>87.91</v>
      </c>
      <c r="J80" s="212">
        <f>ROUND(G80*I80,2)</f>
        <v>791.19</v>
      </c>
      <c r="L80" s="58"/>
    </row>
    <row r="81" spans="1:12" ht="25.5" x14ac:dyDescent="0.2">
      <c r="A81" s="266" t="s">
        <v>863</v>
      </c>
      <c r="B81" s="220" t="s">
        <v>1110</v>
      </c>
      <c r="C81" s="220" t="s">
        <v>57</v>
      </c>
      <c r="D81" s="210" t="s">
        <v>32</v>
      </c>
      <c r="E81" s="211" t="s">
        <v>768</v>
      </c>
      <c r="F81" s="209" t="s">
        <v>92</v>
      </c>
      <c r="G81" s="204">
        <v>27.75</v>
      </c>
      <c r="H81" s="212">
        <v>19</v>
      </c>
      <c r="I81" s="212">
        <f>ROUND(IF(D81="S",(H81*(1+$I$7)),(H81*(1+$I$8))),2)</f>
        <v>24.71</v>
      </c>
      <c r="J81" s="212">
        <f>ROUND(G81*I81,2)</f>
        <v>685.7</v>
      </c>
      <c r="L81" s="58"/>
    </row>
    <row r="82" spans="1:12" x14ac:dyDescent="0.2">
      <c r="A82" s="282" t="s">
        <v>864</v>
      </c>
      <c r="B82" s="276"/>
      <c r="C82" s="276"/>
      <c r="D82" s="276"/>
      <c r="E82" s="277" t="s">
        <v>302</v>
      </c>
      <c r="F82" s="276"/>
      <c r="G82" s="278"/>
      <c r="H82" s="279">
        <v>0</v>
      </c>
      <c r="I82" s="280"/>
      <c r="J82" s="280">
        <f>SUBTOTAL(9,J83)</f>
        <v>26010</v>
      </c>
      <c r="L82" s="58"/>
    </row>
    <row r="83" spans="1:12" x14ac:dyDescent="0.2">
      <c r="A83" s="266" t="s">
        <v>865</v>
      </c>
      <c r="B83" s="220" t="s">
        <v>1110</v>
      </c>
      <c r="C83" s="220" t="s">
        <v>57</v>
      </c>
      <c r="D83" s="210" t="s">
        <v>32</v>
      </c>
      <c r="E83" s="211" t="s">
        <v>770</v>
      </c>
      <c r="F83" s="209" t="s">
        <v>35</v>
      </c>
      <c r="G83" s="204">
        <v>100</v>
      </c>
      <c r="H83" s="212">
        <v>200</v>
      </c>
      <c r="I83" s="212">
        <f>ROUND(IF(D83="S",(H83*(1+$I$7)),(H83*(1+$I$8))),2)</f>
        <v>260.10000000000002</v>
      </c>
      <c r="J83" s="212">
        <f>ROUND(G83*I83,2)</f>
        <v>26010</v>
      </c>
      <c r="L83" s="58"/>
    </row>
    <row r="84" spans="1:12" x14ac:dyDescent="0.2">
      <c r="A84" s="282" t="s">
        <v>866</v>
      </c>
      <c r="B84" s="276"/>
      <c r="C84" s="276"/>
      <c r="D84" s="276"/>
      <c r="E84" s="277" t="s">
        <v>303</v>
      </c>
      <c r="F84" s="276"/>
      <c r="G84" s="278"/>
      <c r="H84" s="279">
        <v>0</v>
      </c>
      <c r="I84" s="280"/>
      <c r="J84" s="280">
        <f>SUBTOTAL(9,J85)</f>
        <v>11054</v>
      </c>
      <c r="L84" s="58"/>
    </row>
    <row r="85" spans="1:12" x14ac:dyDescent="0.2">
      <c r="A85" s="266" t="s">
        <v>867</v>
      </c>
      <c r="B85" s="220" t="s">
        <v>1110</v>
      </c>
      <c r="C85" s="220" t="s">
        <v>57</v>
      </c>
      <c r="D85" s="210" t="s">
        <v>32</v>
      </c>
      <c r="E85" s="211" t="s">
        <v>323</v>
      </c>
      <c r="F85" s="209" t="s">
        <v>35</v>
      </c>
      <c r="G85" s="204">
        <v>100</v>
      </c>
      <c r="H85" s="212">
        <v>85</v>
      </c>
      <c r="I85" s="212">
        <f>ROUND(IF(D85="S",(H85*(1+$I$7)),(H85*(1+$I$8))),2)</f>
        <v>110.54</v>
      </c>
      <c r="J85" s="212">
        <f>ROUND(G85*I85,2)</f>
        <v>11054</v>
      </c>
      <c r="L85" s="58"/>
    </row>
    <row r="86" spans="1:12" x14ac:dyDescent="0.2">
      <c r="A86" s="282" t="s">
        <v>868</v>
      </c>
      <c r="B86" s="276"/>
      <c r="C86" s="276"/>
      <c r="D86" s="276"/>
      <c r="E86" s="277" t="s">
        <v>304</v>
      </c>
      <c r="F86" s="276"/>
      <c r="G86" s="278"/>
      <c r="H86" s="279">
        <v>0</v>
      </c>
      <c r="I86" s="280"/>
      <c r="J86" s="280">
        <f>SUBTOTAL(9,J87:J88)</f>
        <v>7959.06</v>
      </c>
      <c r="L86" s="58"/>
    </row>
    <row r="87" spans="1:12" x14ac:dyDescent="0.2">
      <c r="A87" s="266" t="s">
        <v>869</v>
      </c>
      <c r="B87" s="220" t="s">
        <v>1110</v>
      </c>
      <c r="C87" s="220" t="s">
        <v>57</v>
      </c>
      <c r="D87" s="210" t="s">
        <v>32</v>
      </c>
      <c r="E87" s="211" t="s">
        <v>773</v>
      </c>
      <c r="F87" s="209" t="s">
        <v>35</v>
      </c>
      <c r="G87" s="204">
        <v>6</v>
      </c>
      <c r="H87" s="212">
        <v>100</v>
      </c>
      <c r="I87" s="212">
        <f>ROUND(IF(D87="S",(H87*(1+$I$7)),(H87*(1+$I$8))),2)</f>
        <v>130.05000000000001</v>
      </c>
      <c r="J87" s="212">
        <f>ROUND(G87*I87,2)</f>
        <v>780.3</v>
      </c>
      <c r="L87" s="58"/>
    </row>
    <row r="88" spans="1:12" ht="25.5" x14ac:dyDescent="0.2">
      <c r="A88" s="266" t="s">
        <v>870</v>
      </c>
      <c r="B88" s="220" t="s">
        <v>1110</v>
      </c>
      <c r="C88" s="220" t="s">
        <v>57</v>
      </c>
      <c r="D88" s="210" t="s">
        <v>32</v>
      </c>
      <c r="E88" s="211" t="s">
        <v>772</v>
      </c>
      <c r="F88" s="209" t="s">
        <v>35</v>
      </c>
      <c r="G88" s="204">
        <v>6</v>
      </c>
      <c r="H88" s="212">
        <v>920</v>
      </c>
      <c r="I88" s="212">
        <f>ROUND(IF(D88="S",(H88*(1+$I$7)),(H88*(1+$I$8))),2)</f>
        <v>1196.46</v>
      </c>
      <c r="J88" s="212">
        <f>ROUND(G88*I88,2)</f>
        <v>7178.76</v>
      </c>
      <c r="L88" s="58"/>
    </row>
    <row r="89" spans="1:12" x14ac:dyDescent="0.2">
      <c r="A89" s="282" t="s">
        <v>871</v>
      </c>
      <c r="B89" s="276"/>
      <c r="C89" s="276"/>
      <c r="D89" s="276"/>
      <c r="E89" s="277" t="s">
        <v>774</v>
      </c>
      <c r="F89" s="276"/>
      <c r="G89" s="278"/>
      <c r="H89" s="279">
        <v>0</v>
      </c>
      <c r="I89" s="280"/>
      <c r="J89" s="280">
        <f>SUBTOTAL(9,J90:J91)</f>
        <v>65422</v>
      </c>
      <c r="L89" s="58"/>
    </row>
    <row r="90" spans="1:12" x14ac:dyDescent="0.2">
      <c r="A90" s="266" t="s">
        <v>872</v>
      </c>
      <c r="B90" s="220" t="s">
        <v>1110</v>
      </c>
      <c r="C90" s="220" t="s">
        <v>57</v>
      </c>
      <c r="D90" s="210" t="s">
        <v>32</v>
      </c>
      <c r="E90" s="211" t="s">
        <v>775</v>
      </c>
      <c r="F90" s="209" t="s">
        <v>35</v>
      </c>
      <c r="G90" s="204">
        <v>100</v>
      </c>
      <c r="H90" s="212">
        <v>251.53</v>
      </c>
      <c r="I90" s="212">
        <f>ROUND(IF(D90="S",(H90*(1+$I$7)),(H90*(1+$I$8))),2)</f>
        <v>327.11</v>
      </c>
      <c r="J90" s="212">
        <f>ROUND(G90*I90,2)</f>
        <v>32711</v>
      </c>
      <c r="L90" s="58"/>
    </row>
    <row r="91" spans="1:12" x14ac:dyDescent="0.2">
      <c r="A91" s="266" t="s">
        <v>873</v>
      </c>
      <c r="B91" s="220" t="s">
        <v>1110</v>
      </c>
      <c r="C91" s="220" t="s">
        <v>57</v>
      </c>
      <c r="D91" s="210" t="s">
        <v>32</v>
      </c>
      <c r="E91" s="211" t="s">
        <v>776</v>
      </c>
      <c r="F91" s="209" t="s">
        <v>35</v>
      </c>
      <c r="G91" s="204">
        <v>100</v>
      </c>
      <c r="H91" s="212">
        <v>251.53</v>
      </c>
      <c r="I91" s="212">
        <f>ROUND(IF(D91="S",(H91*(1+$I$7)),(H91*(1+$I$8))),2)</f>
        <v>327.11</v>
      </c>
      <c r="J91" s="212">
        <f>ROUND(G91*I91,2)</f>
        <v>32711</v>
      </c>
      <c r="L91" s="58"/>
    </row>
    <row r="92" spans="1:12" x14ac:dyDescent="0.2">
      <c r="A92" s="282" t="s">
        <v>874</v>
      </c>
      <c r="B92" s="276"/>
      <c r="C92" s="276"/>
      <c r="D92" s="276"/>
      <c r="E92" s="277" t="s">
        <v>305</v>
      </c>
      <c r="F92" s="276"/>
      <c r="G92" s="278"/>
      <c r="H92" s="279">
        <v>0</v>
      </c>
      <c r="I92" s="280"/>
      <c r="J92" s="280">
        <f>SUBTOTAL(9,J93:J96)</f>
        <v>119408.40999999999</v>
      </c>
      <c r="L92" s="58"/>
    </row>
    <row r="93" spans="1:12" ht="38.25" x14ac:dyDescent="0.2">
      <c r="A93" s="266" t="s">
        <v>875</v>
      </c>
      <c r="B93" s="220" t="s">
        <v>1110</v>
      </c>
      <c r="C93" s="220" t="s">
        <v>57</v>
      </c>
      <c r="D93" s="210" t="s">
        <v>49</v>
      </c>
      <c r="E93" s="211" t="s">
        <v>310</v>
      </c>
      <c r="F93" s="209" t="s">
        <v>35</v>
      </c>
      <c r="G93" s="204">
        <v>80</v>
      </c>
      <c r="H93" s="212">
        <v>450</v>
      </c>
      <c r="I93" s="212">
        <f>ROUND(IF(D93="S",(H93*(1+$I$7)),(H93*(1+$I$8))),2)</f>
        <v>539.54999999999995</v>
      </c>
      <c r="J93" s="212">
        <f>ROUND(G93*I93,2)</f>
        <v>43164</v>
      </c>
      <c r="L93" s="58"/>
    </row>
    <row r="94" spans="1:12" ht="51" x14ac:dyDescent="0.2">
      <c r="A94" s="266" t="s">
        <v>876</v>
      </c>
      <c r="B94" s="220" t="s">
        <v>1110</v>
      </c>
      <c r="C94" s="220" t="s">
        <v>57</v>
      </c>
      <c r="D94" s="210" t="s">
        <v>49</v>
      </c>
      <c r="E94" s="211" t="s">
        <v>311</v>
      </c>
      <c r="F94" s="209" t="s">
        <v>35</v>
      </c>
      <c r="G94" s="204">
        <v>20</v>
      </c>
      <c r="H94" s="212">
        <v>2790</v>
      </c>
      <c r="I94" s="212">
        <f>ROUND(IF(D94="S",(H94*(1+$I$7)),(H94*(1+$I$8))),2)</f>
        <v>3345.21</v>
      </c>
      <c r="J94" s="212">
        <f>ROUND(G94*I94,2)</f>
        <v>66904.2</v>
      </c>
      <c r="L94" s="58"/>
    </row>
    <row r="95" spans="1:12" x14ac:dyDescent="0.2">
      <c r="A95" s="266" t="s">
        <v>877</v>
      </c>
      <c r="B95" s="220" t="s">
        <v>1110</v>
      </c>
      <c r="C95" s="220" t="s">
        <v>57</v>
      </c>
      <c r="D95" s="210" t="s">
        <v>49</v>
      </c>
      <c r="E95" s="211" t="s">
        <v>777</v>
      </c>
      <c r="F95" s="209" t="s">
        <v>45</v>
      </c>
      <c r="G95" s="204">
        <v>1</v>
      </c>
      <c r="H95" s="212">
        <v>350</v>
      </c>
      <c r="I95" s="212">
        <f>ROUND(IF(D95="S",(H95*(1+$I$7)),(H95*(1+$I$8))),2)</f>
        <v>419.65</v>
      </c>
      <c r="J95" s="212">
        <f>ROUND(G95*I95,2)</f>
        <v>419.65</v>
      </c>
      <c r="L95" s="58"/>
    </row>
    <row r="96" spans="1:12" ht="38.25" x14ac:dyDescent="0.2">
      <c r="A96" s="266" t="s">
        <v>878</v>
      </c>
      <c r="B96" s="220" t="s">
        <v>1110</v>
      </c>
      <c r="C96" s="220" t="s">
        <v>57</v>
      </c>
      <c r="D96" s="210" t="s">
        <v>49</v>
      </c>
      <c r="E96" s="211" t="s">
        <v>312</v>
      </c>
      <c r="F96" s="209" t="s">
        <v>93</v>
      </c>
      <c r="G96" s="204">
        <v>8</v>
      </c>
      <c r="H96" s="212">
        <v>930</v>
      </c>
      <c r="I96" s="212">
        <f>ROUND(IF(D96="S",(H96*(1+$I$7)),(H96*(1+$I$8))),2)</f>
        <v>1115.07</v>
      </c>
      <c r="J96" s="212">
        <f>ROUND(G96*I96,2)</f>
        <v>8920.56</v>
      </c>
      <c r="L96" s="58"/>
    </row>
    <row r="97" spans="1:12" x14ac:dyDescent="0.2">
      <c r="A97" s="282" t="s">
        <v>879</v>
      </c>
      <c r="B97" s="276"/>
      <c r="C97" s="276"/>
      <c r="D97" s="276"/>
      <c r="E97" s="277" t="s">
        <v>306</v>
      </c>
      <c r="F97" s="276"/>
      <c r="G97" s="278"/>
      <c r="H97" s="279">
        <v>0</v>
      </c>
      <c r="I97" s="280"/>
      <c r="J97" s="280">
        <f>SUBTOTAL(9,J98:J100)</f>
        <v>6138.43</v>
      </c>
      <c r="L97" s="58"/>
    </row>
    <row r="98" spans="1:12" x14ac:dyDescent="0.2">
      <c r="A98" s="266" t="s">
        <v>880</v>
      </c>
      <c r="B98" s="220" t="s">
        <v>1110</v>
      </c>
      <c r="C98" s="220" t="s">
        <v>57</v>
      </c>
      <c r="D98" s="210" t="s">
        <v>32</v>
      </c>
      <c r="E98" s="211" t="s">
        <v>313</v>
      </c>
      <c r="F98" s="209" t="s">
        <v>66</v>
      </c>
      <c r="G98" s="204">
        <v>72</v>
      </c>
      <c r="H98" s="212">
        <v>40</v>
      </c>
      <c r="I98" s="212">
        <f>ROUND(IF(D98="S",(H98*(1+$I$7)),(H98*(1+$I$8))),2)</f>
        <v>52.02</v>
      </c>
      <c r="J98" s="212">
        <f>ROUND(G98*I98,2)</f>
        <v>3745.44</v>
      </c>
      <c r="L98" s="58"/>
    </row>
    <row r="99" spans="1:12" x14ac:dyDescent="0.2">
      <c r="A99" s="266" t="s">
        <v>881</v>
      </c>
      <c r="B99" s="220" t="s">
        <v>1110</v>
      </c>
      <c r="C99" s="220" t="s">
        <v>57</v>
      </c>
      <c r="D99" s="210" t="s">
        <v>32</v>
      </c>
      <c r="E99" s="211" t="s">
        <v>778</v>
      </c>
      <c r="F99" s="209" t="s">
        <v>45</v>
      </c>
      <c r="G99" s="204">
        <v>1</v>
      </c>
      <c r="H99" s="212">
        <v>300</v>
      </c>
      <c r="I99" s="212">
        <f>ROUND(IF(D99="S",(H99*(1+$I$7)),(H99*(1+$I$8))),2)</f>
        <v>390.15</v>
      </c>
      <c r="J99" s="212">
        <f>ROUND(G99*I99,2)</f>
        <v>390.15</v>
      </c>
      <c r="L99" s="58"/>
    </row>
    <row r="100" spans="1:12" x14ac:dyDescent="0.2">
      <c r="A100" s="266" t="s">
        <v>882</v>
      </c>
      <c r="B100" s="220" t="s">
        <v>1110</v>
      </c>
      <c r="C100" s="220" t="s">
        <v>57</v>
      </c>
      <c r="D100" s="210" t="s">
        <v>32</v>
      </c>
      <c r="E100" s="211" t="s">
        <v>314</v>
      </c>
      <c r="F100" s="209" t="s">
        <v>66</v>
      </c>
      <c r="G100" s="204">
        <v>28</v>
      </c>
      <c r="H100" s="212">
        <v>55</v>
      </c>
      <c r="I100" s="212">
        <f>ROUND(IF(D100="S",(H100*(1+$I$7)),(H100*(1+$I$8))),2)</f>
        <v>71.53</v>
      </c>
      <c r="J100" s="212">
        <f>ROUND(G100*I100,2)</f>
        <v>2002.84</v>
      </c>
      <c r="L100" s="58"/>
    </row>
    <row r="101" spans="1:12" x14ac:dyDescent="0.2">
      <c r="A101" s="282" t="s">
        <v>883</v>
      </c>
      <c r="B101" s="276"/>
      <c r="C101" s="276"/>
      <c r="D101" s="276"/>
      <c r="E101" s="277" t="s">
        <v>307</v>
      </c>
      <c r="F101" s="276"/>
      <c r="G101" s="278"/>
      <c r="H101" s="279">
        <v>0</v>
      </c>
      <c r="I101" s="280"/>
      <c r="J101" s="280">
        <f>SUBTOTAL(9,J102)</f>
        <v>4135.8</v>
      </c>
      <c r="L101" s="58"/>
    </row>
    <row r="102" spans="1:12" ht="25.5" x14ac:dyDescent="0.2">
      <c r="A102" s="266" t="s">
        <v>884</v>
      </c>
      <c r="B102" s="220" t="s">
        <v>1110</v>
      </c>
      <c r="C102" s="220" t="s">
        <v>57</v>
      </c>
      <c r="D102" s="210" t="s">
        <v>32</v>
      </c>
      <c r="E102" s="211" t="s">
        <v>322</v>
      </c>
      <c r="F102" s="209" t="s">
        <v>35</v>
      </c>
      <c r="G102" s="204">
        <v>60</v>
      </c>
      <c r="H102" s="212">
        <v>53</v>
      </c>
      <c r="I102" s="212">
        <f>ROUND(IF(D102="S",(H102*(1+$I$7)),(H102*(1+$I$8))),2)</f>
        <v>68.930000000000007</v>
      </c>
      <c r="J102" s="212">
        <f>ROUND(G102*I102,2)</f>
        <v>4135.8</v>
      </c>
      <c r="L102" s="58"/>
    </row>
    <row r="103" spans="1:12" x14ac:dyDescent="0.2">
      <c r="A103" s="282" t="s">
        <v>885</v>
      </c>
      <c r="B103" s="276"/>
      <c r="C103" s="276"/>
      <c r="D103" s="276"/>
      <c r="E103" s="277" t="s">
        <v>308</v>
      </c>
      <c r="F103" s="276"/>
      <c r="G103" s="278"/>
      <c r="H103" s="279">
        <v>0</v>
      </c>
      <c r="I103" s="280"/>
      <c r="J103" s="280">
        <f>SUBTOTAL(9,J104)</f>
        <v>1466.96</v>
      </c>
      <c r="L103" s="58"/>
    </row>
    <row r="104" spans="1:12" ht="38.25" x14ac:dyDescent="0.2">
      <c r="A104" s="266" t="s">
        <v>886</v>
      </c>
      <c r="B104" s="220" t="s">
        <v>1110</v>
      </c>
      <c r="C104" s="220" t="s">
        <v>57</v>
      </c>
      <c r="D104" s="210" t="s">
        <v>32</v>
      </c>
      <c r="E104" s="211" t="s">
        <v>779</v>
      </c>
      <c r="F104" s="209" t="s">
        <v>93</v>
      </c>
      <c r="G104" s="204">
        <v>1.2</v>
      </c>
      <c r="H104" s="212">
        <v>940</v>
      </c>
      <c r="I104" s="212">
        <f>ROUND(IF(D104="S",(H104*(1+$I$7)),(H104*(1+$I$8))),2)</f>
        <v>1222.47</v>
      </c>
      <c r="J104" s="212">
        <f>ROUND(G104*I104,2)</f>
        <v>1466.96</v>
      </c>
      <c r="L104" s="58"/>
    </row>
    <row r="105" spans="1:12" x14ac:dyDescent="0.2">
      <c r="A105" s="282" t="s">
        <v>887</v>
      </c>
      <c r="B105" s="276"/>
      <c r="C105" s="276"/>
      <c r="D105" s="276"/>
      <c r="E105" s="277" t="s">
        <v>298</v>
      </c>
      <c r="F105" s="276"/>
      <c r="G105" s="278"/>
      <c r="H105" s="279">
        <v>0</v>
      </c>
      <c r="I105" s="280"/>
      <c r="J105" s="280">
        <f>SUBTOTAL(9,J106:J107)</f>
        <v>2731.05</v>
      </c>
      <c r="L105" s="58"/>
    </row>
    <row r="106" spans="1:12" x14ac:dyDescent="0.2">
      <c r="A106" s="266" t="s">
        <v>888</v>
      </c>
      <c r="B106" s="220" t="s">
        <v>1110</v>
      </c>
      <c r="C106" s="220" t="s">
        <v>57</v>
      </c>
      <c r="D106" s="210" t="s">
        <v>32</v>
      </c>
      <c r="E106" s="211" t="s">
        <v>315</v>
      </c>
      <c r="F106" s="209" t="s">
        <v>45</v>
      </c>
      <c r="G106" s="204">
        <v>1</v>
      </c>
      <c r="H106" s="212">
        <v>600</v>
      </c>
      <c r="I106" s="212">
        <f>ROUND(IF(D106="S",(H106*(1+$I$7)),(H106*(1+$I$8))),2)</f>
        <v>780.3</v>
      </c>
      <c r="J106" s="212">
        <f>ROUND(G106*I106,2)</f>
        <v>780.3</v>
      </c>
      <c r="L106" s="58"/>
    </row>
    <row r="107" spans="1:12" ht="25.5" x14ac:dyDescent="0.2">
      <c r="A107" s="266" t="s">
        <v>889</v>
      </c>
      <c r="B107" s="220" t="s">
        <v>1110</v>
      </c>
      <c r="C107" s="220" t="s">
        <v>57</v>
      </c>
      <c r="D107" s="210" t="s">
        <v>32</v>
      </c>
      <c r="E107" s="211" t="s">
        <v>324</v>
      </c>
      <c r="F107" s="209" t="s">
        <v>45</v>
      </c>
      <c r="G107" s="204">
        <v>1</v>
      </c>
      <c r="H107" s="212">
        <v>1500</v>
      </c>
      <c r="I107" s="212">
        <f>ROUND(IF(D107="S",(H107*(1+$I$7)),(H107*(1+$I$8))),2)</f>
        <v>1950.75</v>
      </c>
      <c r="J107" s="212">
        <f>ROUND(G107*I107,2)</f>
        <v>1950.75</v>
      </c>
      <c r="L107" s="58"/>
    </row>
    <row r="108" spans="1:12" x14ac:dyDescent="0.2">
      <c r="A108" s="282" t="s">
        <v>890</v>
      </c>
      <c r="B108" s="276"/>
      <c r="C108" s="276"/>
      <c r="D108" s="276"/>
      <c r="E108" s="277" t="s">
        <v>309</v>
      </c>
      <c r="F108" s="276"/>
      <c r="G108" s="278"/>
      <c r="H108" s="279">
        <v>0</v>
      </c>
      <c r="I108" s="280"/>
      <c r="J108" s="280">
        <f>SUBTOTAL(9,J109:J129)</f>
        <v>80228.490000000005</v>
      </c>
      <c r="L108" s="58"/>
    </row>
    <row r="109" spans="1:12" ht="38.25" x14ac:dyDescent="0.2">
      <c r="A109" s="266" t="s">
        <v>891</v>
      </c>
      <c r="B109" s="220" t="s">
        <v>764</v>
      </c>
      <c r="C109" s="220" t="s">
        <v>57</v>
      </c>
      <c r="D109" s="210" t="s">
        <v>49</v>
      </c>
      <c r="E109" s="211" t="s">
        <v>319</v>
      </c>
      <c r="F109" s="209" t="s">
        <v>35</v>
      </c>
      <c r="G109" s="204">
        <v>40</v>
      </c>
      <c r="H109" s="212">
        <v>297.58999999999997</v>
      </c>
      <c r="I109" s="212">
        <f t="shared" ref="I109:I129" si="4">ROUND(IF(D109="S",(H109*(1+$I$7)),(H109*(1+$I$8))),2)</f>
        <v>356.81</v>
      </c>
      <c r="J109" s="212">
        <f t="shared" ref="J109:J129" si="5">ROUND(G109*I109,2)</f>
        <v>14272.4</v>
      </c>
      <c r="L109" s="58"/>
    </row>
    <row r="110" spans="1:12" ht="25.5" x14ac:dyDescent="0.2">
      <c r="A110" s="266" t="s">
        <v>892</v>
      </c>
      <c r="B110" s="220" t="s">
        <v>764</v>
      </c>
      <c r="C110" s="220" t="s">
        <v>57</v>
      </c>
      <c r="D110" s="210" t="s">
        <v>49</v>
      </c>
      <c r="E110" s="211" t="s">
        <v>320</v>
      </c>
      <c r="F110" s="209" t="s">
        <v>158</v>
      </c>
      <c r="G110" s="204">
        <v>4</v>
      </c>
      <c r="H110" s="212">
        <v>2719.2</v>
      </c>
      <c r="I110" s="212">
        <f t="shared" si="4"/>
        <v>3260.32</v>
      </c>
      <c r="J110" s="212">
        <f t="shared" si="5"/>
        <v>13041.28</v>
      </c>
      <c r="L110" s="58"/>
    </row>
    <row r="111" spans="1:12" ht="25.5" x14ac:dyDescent="0.2">
      <c r="A111" s="266" t="s">
        <v>893</v>
      </c>
      <c r="B111" s="220" t="s">
        <v>764</v>
      </c>
      <c r="C111" s="220" t="s">
        <v>57</v>
      </c>
      <c r="D111" s="210" t="s">
        <v>49</v>
      </c>
      <c r="E111" s="211" t="s">
        <v>321</v>
      </c>
      <c r="F111" s="209" t="s">
        <v>45</v>
      </c>
      <c r="G111" s="204">
        <v>2</v>
      </c>
      <c r="H111" s="212">
        <v>1278.76</v>
      </c>
      <c r="I111" s="212">
        <f t="shared" si="4"/>
        <v>1533.23</v>
      </c>
      <c r="J111" s="212">
        <f t="shared" si="5"/>
        <v>3066.46</v>
      </c>
      <c r="L111" s="58"/>
    </row>
    <row r="112" spans="1:12" x14ac:dyDescent="0.2">
      <c r="A112" s="266" t="s">
        <v>894</v>
      </c>
      <c r="B112" s="220" t="s">
        <v>764</v>
      </c>
      <c r="C112" s="220" t="s">
        <v>57</v>
      </c>
      <c r="D112" s="210" t="s">
        <v>49</v>
      </c>
      <c r="E112" s="211" t="s">
        <v>316</v>
      </c>
      <c r="F112" s="209" t="s">
        <v>45</v>
      </c>
      <c r="G112" s="204">
        <v>25</v>
      </c>
      <c r="H112" s="212">
        <v>17.559999999999999</v>
      </c>
      <c r="I112" s="212">
        <f t="shared" si="4"/>
        <v>21.05</v>
      </c>
      <c r="J112" s="212">
        <f t="shared" si="5"/>
        <v>526.25</v>
      </c>
      <c r="L112" s="58"/>
    </row>
    <row r="113" spans="1:12" x14ac:dyDescent="0.2">
      <c r="A113" s="266" t="s">
        <v>895</v>
      </c>
      <c r="B113" s="220" t="s">
        <v>764</v>
      </c>
      <c r="C113" s="220" t="s">
        <v>57</v>
      </c>
      <c r="D113" s="210" t="s">
        <v>49</v>
      </c>
      <c r="E113" s="211" t="s">
        <v>317</v>
      </c>
      <c r="F113" s="209" t="s">
        <v>45</v>
      </c>
      <c r="G113" s="204">
        <v>25</v>
      </c>
      <c r="H113" s="212">
        <v>11.17</v>
      </c>
      <c r="I113" s="212">
        <f t="shared" si="4"/>
        <v>13.39</v>
      </c>
      <c r="J113" s="212">
        <f t="shared" si="5"/>
        <v>334.75</v>
      </c>
      <c r="L113" s="58"/>
    </row>
    <row r="114" spans="1:12" x14ac:dyDescent="0.2">
      <c r="A114" s="266" t="s">
        <v>896</v>
      </c>
      <c r="B114" s="220">
        <v>9859</v>
      </c>
      <c r="C114" s="220" t="s">
        <v>1132</v>
      </c>
      <c r="D114" s="210" t="s">
        <v>49</v>
      </c>
      <c r="E114" s="211" t="s">
        <v>318</v>
      </c>
      <c r="F114" s="209" t="s">
        <v>35</v>
      </c>
      <c r="G114" s="204">
        <v>60</v>
      </c>
      <c r="H114" s="212">
        <v>11.24</v>
      </c>
      <c r="I114" s="212">
        <f t="shared" si="4"/>
        <v>13.48</v>
      </c>
      <c r="J114" s="212">
        <f t="shared" si="5"/>
        <v>808.8</v>
      </c>
      <c r="L114" s="58"/>
    </row>
    <row r="115" spans="1:12" x14ac:dyDescent="0.2">
      <c r="A115" s="266" t="s">
        <v>897</v>
      </c>
      <c r="B115" s="220" t="s">
        <v>793</v>
      </c>
      <c r="C115" s="220" t="s">
        <v>44</v>
      </c>
      <c r="D115" s="210" t="s">
        <v>49</v>
      </c>
      <c r="E115" s="211" t="s">
        <v>327</v>
      </c>
      <c r="F115" s="209" t="s">
        <v>45</v>
      </c>
      <c r="G115" s="204">
        <v>1</v>
      </c>
      <c r="H115" s="212">
        <v>607.89</v>
      </c>
      <c r="I115" s="212">
        <f t="shared" si="4"/>
        <v>728.86</v>
      </c>
      <c r="J115" s="212">
        <f t="shared" si="5"/>
        <v>728.86</v>
      </c>
      <c r="L115" s="58"/>
    </row>
    <row r="116" spans="1:12" ht="25.5" x14ac:dyDescent="0.2">
      <c r="A116" s="266" t="s">
        <v>898</v>
      </c>
      <c r="B116" s="220" t="s">
        <v>794</v>
      </c>
      <c r="C116" s="220" t="s">
        <v>44</v>
      </c>
      <c r="D116" s="210" t="s">
        <v>49</v>
      </c>
      <c r="E116" s="211" t="s">
        <v>328</v>
      </c>
      <c r="F116" s="209" t="s">
        <v>45</v>
      </c>
      <c r="G116" s="204">
        <v>1</v>
      </c>
      <c r="H116" s="212">
        <v>665.05</v>
      </c>
      <c r="I116" s="212">
        <f t="shared" si="4"/>
        <v>797.39</v>
      </c>
      <c r="J116" s="212">
        <f t="shared" si="5"/>
        <v>797.39</v>
      </c>
      <c r="L116" s="58"/>
    </row>
    <row r="117" spans="1:12" x14ac:dyDescent="0.2">
      <c r="A117" s="266" t="s">
        <v>899</v>
      </c>
      <c r="B117" s="220" t="s">
        <v>780</v>
      </c>
      <c r="C117" s="220" t="s">
        <v>57</v>
      </c>
      <c r="D117" s="210" t="s">
        <v>49</v>
      </c>
      <c r="E117" s="211" t="s">
        <v>260</v>
      </c>
      <c r="F117" s="209" t="s">
        <v>158</v>
      </c>
      <c r="G117" s="204">
        <v>1</v>
      </c>
      <c r="H117" s="212">
        <v>742.13</v>
      </c>
      <c r="I117" s="212">
        <f t="shared" si="4"/>
        <v>889.81</v>
      </c>
      <c r="J117" s="212">
        <f t="shared" si="5"/>
        <v>889.81</v>
      </c>
      <c r="L117" s="58"/>
    </row>
    <row r="118" spans="1:12" x14ac:dyDescent="0.2">
      <c r="A118" s="266" t="s">
        <v>900</v>
      </c>
      <c r="B118" s="220" t="s">
        <v>781</v>
      </c>
      <c r="C118" s="220" t="s">
        <v>57</v>
      </c>
      <c r="D118" s="210" t="s">
        <v>49</v>
      </c>
      <c r="E118" s="211" t="s">
        <v>758</v>
      </c>
      <c r="F118" s="209" t="s">
        <v>158</v>
      </c>
      <c r="G118" s="204">
        <v>1</v>
      </c>
      <c r="H118" s="212">
        <v>1465.9</v>
      </c>
      <c r="I118" s="212">
        <f t="shared" si="4"/>
        <v>1757.61</v>
      </c>
      <c r="J118" s="212">
        <f t="shared" si="5"/>
        <v>1757.61</v>
      </c>
      <c r="L118" s="58"/>
    </row>
    <row r="119" spans="1:12" x14ac:dyDescent="0.2">
      <c r="A119" s="266" t="s">
        <v>901</v>
      </c>
      <c r="B119" s="220" t="s">
        <v>782</v>
      </c>
      <c r="C119" s="220" t="s">
        <v>57</v>
      </c>
      <c r="D119" s="210" t="s">
        <v>49</v>
      </c>
      <c r="E119" s="211" t="s">
        <v>759</v>
      </c>
      <c r="F119" s="209" t="s">
        <v>45</v>
      </c>
      <c r="G119" s="204">
        <v>1</v>
      </c>
      <c r="H119" s="212">
        <v>830.96</v>
      </c>
      <c r="I119" s="212">
        <f t="shared" si="4"/>
        <v>996.32</v>
      </c>
      <c r="J119" s="212">
        <f t="shared" si="5"/>
        <v>996.32</v>
      </c>
      <c r="L119" s="58"/>
    </row>
    <row r="120" spans="1:12" x14ac:dyDescent="0.2">
      <c r="A120" s="266" t="s">
        <v>902</v>
      </c>
      <c r="B120" s="220" t="s">
        <v>1076</v>
      </c>
      <c r="C120" s="220" t="s">
        <v>365</v>
      </c>
      <c r="D120" s="210" t="s">
        <v>49</v>
      </c>
      <c r="E120" s="211" t="s">
        <v>760</v>
      </c>
      <c r="F120" s="209" t="s">
        <v>158</v>
      </c>
      <c r="G120" s="204">
        <v>1</v>
      </c>
      <c r="H120" s="212">
        <v>420.88</v>
      </c>
      <c r="I120" s="212">
        <f t="shared" si="4"/>
        <v>504.64</v>
      </c>
      <c r="J120" s="212">
        <f t="shared" si="5"/>
        <v>504.64</v>
      </c>
      <c r="L120" s="58"/>
    </row>
    <row r="121" spans="1:12" ht="25.5" x14ac:dyDescent="0.2">
      <c r="A121" s="266" t="s">
        <v>903</v>
      </c>
      <c r="B121" s="220" t="s">
        <v>783</v>
      </c>
      <c r="C121" s="220" t="s">
        <v>57</v>
      </c>
      <c r="D121" s="210" t="s">
        <v>49</v>
      </c>
      <c r="E121" s="211" t="s">
        <v>325</v>
      </c>
      <c r="F121" s="209" t="s">
        <v>158</v>
      </c>
      <c r="G121" s="204">
        <v>2</v>
      </c>
      <c r="H121" s="212">
        <v>1610.16</v>
      </c>
      <c r="I121" s="212">
        <f t="shared" si="4"/>
        <v>1930.58</v>
      </c>
      <c r="J121" s="212">
        <f t="shared" si="5"/>
        <v>3861.16</v>
      </c>
      <c r="L121" s="58"/>
    </row>
    <row r="122" spans="1:12" x14ac:dyDescent="0.2">
      <c r="A122" s="266" t="s">
        <v>904</v>
      </c>
      <c r="B122" s="220" t="s">
        <v>784</v>
      </c>
      <c r="C122" s="220" t="s">
        <v>57</v>
      </c>
      <c r="D122" s="210" t="s">
        <v>49</v>
      </c>
      <c r="E122" s="211" t="s">
        <v>761</v>
      </c>
      <c r="F122" s="209" t="s">
        <v>158</v>
      </c>
      <c r="G122" s="204">
        <v>1</v>
      </c>
      <c r="H122" s="212">
        <v>249.17</v>
      </c>
      <c r="I122" s="212">
        <f t="shared" si="4"/>
        <v>298.75</v>
      </c>
      <c r="J122" s="212">
        <f t="shared" si="5"/>
        <v>298.75</v>
      </c>
      <c r="L122" s="58"/>
    </row>
    <row r="123" spans="1:12" x14ac:dyDescent="0.2">
      <c r="A123" s="266" t="s">
        <v>905</v>
      </c>
      <c r="B123" s="220" t="s">
        <v>785</v>
      </c>
      <c r="C123" s="220" t="s">
        <v>57</v>
      </c>
      <c r="D123" s="210" t="s">
        <v>49</v>
      </c>
      <c r="E123" s="211" t="s">
        <v>763</v>
      </c>
      <c r="F123" s="209" t="s">
        <v>158</v>
      </c>
      <c r="G123" s="204">
        <v>1</v>
      </c>
      <c r="H123" s="212">
        <v>167</v>
      </c>
      <c r="I123" s="212">
        <f t="shared" si="4"/>
        <v>200.23</v>
      </c>
      <c r="J123" s="212">
        <f t="shared" si="5"/>
        <v>200.23</v>
      </c>
      <c r="L123" s="58"/>
    </row>
    <row r="124" spans="1:12" x14ac:dyDescent="0.2">
      <c r="A124" s="266" t="s">
        <v>906</v>
      </c>
      <c r="B124" s="220" t="s">
        <v>1083</v>
      </c>
      <c r="C124" s="220" t="s">
        <v>365</v>
      </c>
      <c r="D124" s="210" t="s">
        <v>49</v>
      </c>
      <c r="E124" s="211" t="s">
        <v>762</v>
      </c>
      <c r="F124" s="209" t="s">
        <v>45</v>
      </c>
      <c r="G124" s="204">
        <v>1</v>
      </c>
      <c r="H124" s="212">
        <v>2670</v>
      </c>
      <c r="I124" s="212">
        <f t="shared" si="4"/>
        <v>3201.33</v>
      </c>
      <c r="J124" s="212">
        <f t="shared" si="5"/>
        <v>3201.33</v>
      </c>
      <c r="L124" s="58"/>
    </row>
    <row r="125" spans="1:12" ht="38.25" x14ac:dyDescent="0.2">
      <c r="A125" s="266" t="s">
        <v>907</v>
      </c>
      <c r="B125" s="220" t="s">
        <v>842</v>
      </c>
      <c r="C125" s="220" t="s">
        <v>57</v>
      </c>
      <c r="D125" s="210" t="s">
        <v>49</v>
      </c>
      <c r="E125" s="211" t="s">
        <v>840</v>
      </c>
      <c r="F125" s="209" t="s">
        <v>158</v>
      </c>
      <c r="G125" s="204">
        <v>72</v>
      </c>
      <c r="H125" s="212">
        <v>19.75</v>
      </c>
      <c r="I125" s="212">
        <f t="shared" si="4"/>
        <v>23.68</v>
      </c>
      <c r="J125" s="212">
        <f t="shared" si="5"/>
        <v>1704.96</v>
      </c>
      <c r="L125" s="58"/>
    </row>
    <row r="126" spans="1:12" ht="63.75" x14ac:dyDescent="0.2">
      <c r="A126" s="266" t="s">
        <v>908</v>
      </c>
      <c r="B126" s="220" t="s">
        <v>843</v>
      </c>
      <c r="C126" s="220" t="s">
        <v>57</v>
      </c>
      <c r="D126" s="210" t="s">
        <v>49</v>
      </c>
      <c r="E126" s="211" t="s">
        <v>841</v>
      </c>
      <c r="F126" s="209" t="s">
        <v>158</v>
      </c>
      <c r="G126" s="204">
        <v>8</v>
      </c>
      <c r="H126" s="212">
        <v>36.5</v>
      </c>
      <c r="I126" s="212">
        <f t="shared" si="4"/>
        <v>43.76</v>
      </c>
      <c r="J126" s="212">
        <f t="shared" si="5"/>
        <v>350.08</v>
      </c>
      <c r="L126" s="58"/>
    </row>
    <row r="127" spans="1:12" s="180" customFormat="1" x14ac:dyDescent="0.2">
      <c r="A127" s="266" t="s">
        <v>909</v>
      </c>
      <c r="B127" s="220" t="s">
        <v>1082</v>
      </c>
      <c r="C127" s="220" t="s">
        <v>57</v>
      </c>
      <c r="D127" s="210" t="s">
        <v>49</v>
      </c>
      <c r="E127" s="211" t="s">
        <v>838</v>
      </c>
      <c r="F127" s="209" t="s">
        <v>158</v>
      </c>
      <c r="G127" s="204">
        <v>7</v>
      </c>
      <c r="H127" s="212">
        <v>15.71</v>
      </c>
      <c r="I127" s="212">
        <f t="shared" si="4"/>
        <v>18.84</v>
      </c>
      <c r="J127" s="212">
        <f t="shared" si="5"/>
        <v>131.88</v>
      </c>
      <c r="L127" s="58"/>
    </row>
    <row r="128" spans="1:12" s="180" customFormat="1" x14ac:dyDescent="0.2">
      <c r="A128" s="266" t="s">
        <v>910</v>
      </c>
      <c r="B128" s="220" t="s">
        <v>1082</v>
      </c>
      <c r="C128" s="220" t="s">
        <v>57</v>
      </c>
      <c r="D128" s="210" t="s">
        <v>49</v>
      </c>
      <c r="E128" s="211" t="s">
        <v>839</v>
      </c>
      <c r="F128" s="209" t="s">
        <v>158</v>
      </c>
      <c r="G128" s="204">
        <v>1</v>
      </c>
      <c r="H128" s="212">
        <v>19.04</v>
      </c>
      <c r="I128" s="212">
        <f t="shared" si="4"/>
        <v>22.83</v>
      </c>
      <c r="J128" s="212">
        <f t="shared" si="5"/>
        <v>22.83</v>
      </c>
      <c r="L128" s="58"/>
    </row>
    <row r="129" spans="1:12" s="180" customFormat="1" ht="25.5" x14ac:dyDescent="0.2">
      <c r="A129" s="266" t="s">
        <v>911</v>
      </c>
      <c r="B129" s="220" t="s">
        <v>789</v>
      </c>
      <c r="C129" s="220" t="s">
        <v>57</v>
      </c>
      <c r="D129" s="210" t="s">
        <v>49</v>
      </c>
      <c r="E129" s="211" t="s">
        <v>326</v>
      </c>
      <c r="F129" s="209" t="s">
        <v>68</v>
      </c>
      <c r="G129" s="204">
        <v>1</v>
      </c>
      <c r="H129" s="212">
        <v>27300</v>
      </c>
      <c r="I129" s="212">
        <f t="shared" si="4"/>
        <v>32732.7</v>
      </c>
      <c r="J129" s="212">
        <f t="shared" si="5"/>
        <v>32732.7</v>
      </c>
      <c r="L129" s="58"/>
    </row>
    <row r="130" spans="1:12" s="180" customFormat="1" x14ac:dyDescent="0.2">
      <c r="A130" s="282" t="s">
        <v>961</v>
      </c>
      <c r="B130" s="276"/>
      <c r="C130" s="276"/>
      <c r="D130" s="276"/>
      <c r="E130" s="277" t="s">
        <v>329</v>
      </c>
      <c r="F130" s="276"/>
      <c r="G130" s="278"/>
      <c r="H130" s="279">
        <v>0</v>
      </c>
      <c r="I130" s="280"/>
      <c r="J130" s="280">
        <f>SUBTOTAL(9,J131:J138)</f>
        <v>7608.96</v>
      </c>
      <c r="L130" s="58"/>
    </row>
    <row r="131" spans="1:12" s="180" customFormat="1" ht="51" x14ac:dyDescent="0.2">
      <c r="A131" s="266" t="s">
        <v>962</v>
      </c>
      <c r="B131" s="220" t="s">
        <v>950</v>
      </c>
      <c r="C131" s="220" t="s">
        <v>44</v>
      </c>
      <c r="D131" s="210" t="s">
        <v>32</v>
      </c>
      <c r="E131" s="211" t="s">
        <v>1079</v>
      </c>
      <c r="F131" s="209" t="s">
        <v>35</v>
      </c>
      <c r="G131" s="204">
        <v>40</v>
      </c>
      <c r="H131" s="212">
        <v>98.26</v>
      </c>
      <c r="I131" s="212">
        <f t="shared" ref="I131:I138" si="6">ROUND(IF(D131="S",(H131*(1+$I$7)),(H131*(1+$I$8))),2)</f>
        <v>127.79</v>
      </c>
      <c r="J131" s="212">
        <f t="shared" ref="J131:J138" si="7">ROUND(G131*I131,2)</f>
        <v>5111.6000000000004</v>
      </c>
      <c r="L131" s="58"/>
    </row>
    <row r="132" spans="1:12" s="180" customFormat="1" ht="38.25" x14ac:dyDescent="0.2">
      <c r="A132" s="266" t="s">
        <v>963</v>
      </c>
      <c r="B132" s="220" t="s">
        <v>947</v>
      </c>
      <c r="C132" s="220" t="s">
        <v>44</v>
      </c>
      <c r="D132" s="210" t="s">
        <v>32</v>
      </c>
      <c r="E132" s="211" t="s">
        <v>1000</v>
      </c>
      <c r="F132" s="209" t="s">
        <v>45</v>
      </c>
      <c r="G132" s="204">
        <v>1</v>
      </c>
      <c r="H132" s="212">
        <v>75.069999999999993</v>
      </c>
      <c r="I132" s="212">
        <f t="shared" si="6"/>
        <v>97.63</v>
      </c>
      <c r="J132" s="212">
        <f t="shared" si="7"/>
        <v>97.63</v>
      </c>
      <c r="L132" s="58"/>
    </row>
    <row r="133" spans="1:12" ht="38.25" x14ac:dyDescent="0.2">
      <c r="A133" s="266" t="s">
        <v>964</v>
      </c>
      <c r="B133" s="220" t="s">
        <v>946</v>
      </c>
      <c r="C133" s="220" t="s">
        <v>44</v>
      </c>
      <c r="D133" s="210" t="s">
        <v>32</v>
      </c>
      <c r="E133" s="211" t="s">
        <v>988</v>
      </c>
      <c r="F133" s="209" t="s">
        <v>45</v>
      </c>
      <c r="G133" s="204">
        <v>9</v>
      </c>
      <c r="H133" s="212">
        <v>41.27</v>
      </c>
      <c r="I133" s="212">
        <f t="shared" si="6"/>
        <v>53.67</v>
      </c>
      <c r="J133" s="212">
        <f t="shared" si="7"/>
        <v>483.03</v>
      </c>
      <c r="L133" s="58"/>
    </row>
    <row r="134" spans="1:12" x14ac:dyDescent="0.2">
      <c r="A134" s="266" t="s">
        <v>965</v>
      </c>
      <c r="B134" s="220" t="s">
        <v>945</v>
      </c>
      <c r="C134" s="220" t="s">
        <v>365</v>
      </c>
      <c r="D134" s="210" t="s">
        <v>32</v>
      </c>
      <c r="E134" s="211" t="s">
        <v>759</v>
      </c>
      <c r="F134" s="209" t="s">
        <v>45</v>
      </c>
      <c r="G134" s="204">
        <v>1</v>
      </c>
      <c r="H134" s="212">
        <v>11.23</v>
      </c>
      <c r="I134" s="212">
        <f t="shared" si="6"/>
        <v>14.6</v>
      </c>
      <c r="J134" s="212">
        <f t="shared" si="7"/>
        <v>14.6</v>
      </c>
      <c r="L134" s="58"/>
    </row>
    <row r="135" spans="1:12" ht="38.25" x14ac:dyDescent="0.2">
      <c r="A135" s="266" t="s">
        <v>966</v>
      </c>
      <c r="B135" s="220" t="s">
        <v>948</v>
      </c>
      <c r="C135" s="220" t="s">
        <v>44</v>
      </c>
      <c r="D135" s="210" t="s">
        <v>32</v>
      </c>
      <c r="E135" s="211" t="s">
        <v>1080</v>
      </c>
      <c r="F135" s="209" t="s">
        <v>45</v>
      </c>
      <c r="G135" s="235">
        <v>1</v>
      </c>
      <c r="H135" s="212">
        <v>55.59</v>
      </c>
      <c r="I135" s="212">
        <f t="shared" si="6"/>
        <v>72.290000000000006</v>
      </c>
      <c r="J135" s="212">
        <f t="shared" si="7"/>
        <v>72.290000000000006</v>
      </c>
      <c r="L135" s="58"/>
    </row>
    <row r="136" spans="1:12" ht="25.5" x14ac:dyDescent="0.2">
      <c r="A136" s="266" t="s">
        <v>967</v>
      </c>
      <c r="B136" s="220" t="s">
        <v>945</v>
      </c>
      <c r="C136" s="220" t="s">
        <v>365</v>
      </c>
      <c r="D136" s="210" t="s">
        <v>32</v>
      </c>
      <c r="E136" s="211" t="s">
        <v>325</v>
      </c>
      <c r="F136" s="209" t="s">
        <v>158</v>
      </c>
      <c r="G136" s="204">
        <v>2</v>
      </c>
      <c r="H136" s="212">
        <v>11.23</v>
      </c>
      <c r="I136" s="212">
        <f t="shared" si="6"/>
        <v>14.6</v>
      </c>
      <c r="J136" s="212">
        <f t="shared" si="7"/>
        <v>29.2</v>
      </c>
      <c r="L136" s="58"/>
    </row>
    <row r="137" spans="1:12" ht="25.5" x14ac:dyDescent="0.2">
      <c r="A137" s="266" t="s">
        <v>968</v>
      </c>
      <c r="B137" s="220" t="s">
        <v>949</v>
      </c>
      <c r="C137" s="220" t="s">
        <v>44</v>
      </c>
      <c r="D137" s="210" t="s">
        <v>32</v>
      </c>
      <c r="E137" s="211" t="s">
        <v>999</v>
      </c>
      <c r="F137" s="209" t="s">
        <v>35</v>
      </c>
      <c r="G137" s="235">
        <v>2.5</v>
      </c>
      <c r="H137" s="212">
        <v>9.93</v>
      </c>
      <c r="I137" s="212">
        <f t="shared" si="6"/>
        <v>12.91</v>
      </c>
      <c r="J137" s="212">
        <f t="shared" si="7"/>
        <v>32.28</v>
      </c>
      <c r="L137" s="58"/>
    </row>
    <row r="138" spans="1:12" ht="25.5" x14ac:dyDescent="0.2">
      <c r="A138" s="266" t="s">
        <v>969</v>
      </c>
      <c r="B138" s="220" t="s">
        <v>951</v>
      </c>
      <c r="C138" s="220" t="s">
        <v>44</v>
      </c>
      <c r="D138" s="210" t="s">
        <v>32</v>
      </c>
      <c r="E138" s="211" t="s">
        <v>1081</v>
      </c>
      <c r="F138" s="209" t="s">
        <v>68</v>
      </c>
      <c r="G138" s="204">
        <v>1</v>
      </c>
      <c r="H138" s="212">
        <v>1359.73</v>
      </c>
      <c r="I138" s="212">
        <f t="shared" si="6"/>
        <v>1768.33</v>
      </c>
      <c r="J138" s="212">
        <f t="shared" si="7"/>
        <v>1768.33</v>
      </c>
      <c r="L138" s="58"/>
    </row>
    <row r="139" spans="1:12" x14ac:dyDescent="0.2">
      <c r="A139" s="282" t="s">
        <v>1092</v>
      </c>
      <c r="B139" s="276"/>
      <c r="C139" s="276"/>
      <c r="D139" s="276"/>
      <c r="E139" s="277" t="s">
        <v>330</v>
      </c>
      <c r="F139" s="276"/>
      <c r="G139" s="278"/>
      <c r="H139" s="279">
        <v>0</v>
      </c>
      <c r="I139" s="280"/>
      <c r="J139" s="280">
        <f>SUBTOTAL(9,J140:J140)</f>
        <v>196.88</v>
      </c>
      <c r="L139" s="58"/>
    </row>
    <row r="140" spans="1:12" ht="38.25" x14ac:dyDescent="0.2">
      <c r="A140" s="267" t="s">
        <v>1093</v>
      </c>
      <c r="B140" s="307">
        <v>94966</v>
      </c>
      <c r="C140" s="220" t="s">
        <v>1132</v>
      </c>
      <c r="D140" s="214" t="s">
        <v>32</v>
      </c>
      <c r="E140" s="215" t="s">
        <v>222</v>
      </c>
      <c r="F140" s="213" t="s">
        <v>93</v>
      </c>
      <c r="G140" s="208">
        <v>0.3</v>
      </c>
      <c r="H140" s="216">
        <v>504.62</v>
      </c>
      <c r="I140" s="216">
        <f>ROUND(IF(D140="S",(H140*(1+$I$7)),(H140*(1+$I$8))),2)</f>
        <v>656.26</v>
      </c>
      <c r="J140" s="216">
        <f>ROUND(G140*I140,2)</f>
        <v>196.88</v>
      </c>
      <c r="L140" s="58"/>
    </row>
  </sheetData>
  <mergeCells count="10">
    <mergeCell ref="A6:E8"/>
    <mergeCell ref="F6:H6"/>
    <mergeCell ref="F7:H7"/>
    <mergeCell ref="F8:H8"/>
    <mergeCell ref="B1:E1"/>
    <mergeCell ref="F1:J4"/>
    <mergeCell ref="B2:E2"/>
    <mergeCell ref="B3:E3"/>
    <mergeCell ref="B4:E4"/>
    <mergeCell ref="A5:J5"/>
  </mergeCells>
  <phoneticPr fontId="11" type="noConversion"/>
  <printOptions horizontalCentered="1"/>
  <pageMargins left="0.70866141732283472" right="0.70866141732283472" top="0.74803149606299213" bottom="0.74803149606299213" header="0" footer="0"/>
  <pageSetup scale="58" orientation="landscape" r:id="rId1"/>
  <headerFooter>
    <oddFooter>&amp;CPágina &amp;P de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6"/>
  <sheetViews>
    <sheetView view="pageBreakPreview" topLeftCell="A48" zoomScale="85" zoomScaleNormal="70" zoomScaleSheetLayoutView="85" workbookViewId="0">
      <selection activeCell="F25" sqref="F25"/>
    </sheetView>
  </sheetViews>
  <sheetFormatPr defaultColWidth="12.5703125" defaultRowHeight="12.75" x14ac:dyDescent="0.2"/>
  <cols>
    <col min="1" max="1" width="16.7109375" style="260" customWidth="1"/>
    <col min="2" max="3" width="16.7109375" style="218" customWidth="1"/>
    <col min="4" max="4" width="5.7109375" customWidth="1"/>
    <col min="5" max="5" width="70.7109375" customWidth="1"/>
    <col min="6" max="6" width="10.7109375" customWidth="1"/>
    <col min="7" max="7" width="17.7109375" style="230" customWidth="1"/>
    <col min="8" max="8" width="17.7109375" style="229" customWidth="1"/>
    <col min="9" max="10" width="17.7109375" style="230" customWidth="1"/>
  </cols>
  <sheetData>
    <row r="1" spans="1:10" ht="18.399999999999999" customHeight="1" x14ac:dyDescent="0.2">
      <c r="A1" s="256" t="s">
        <v>0</v>
      </c>
      <c r="B1" s="331" t="s">
        <v>1</v>
      </c>
      <c r="C1" s="352"/>
      <c r="D1" s="312"/>
      <c r="E1" s="313"/>
      <c r="F1" s="322" t="s">
        <v>2</v>
      </c>
      <c r="G1" s="342"/>
      <c r="H1" s="342"/>
      <c r="I1" s="342"/>
      <c r="J1" s="343"/>
    </row>
    <row r="2" spans="1:10" ht="18.399999999999999" customHeight="1" x14ac:dyDescent="0.2">
      <c r="A2" s="256" t="s">
        <v>3</v>
      </c>
      <c r="B2" s="331" t="s">
        <v>300</v>
      </c>
      <c r="C2" s="352"/>
      <c r="D2" s="312"/>
      <c r="E2" s="313"/>
      <c r="F2" s="344"/>
      <c r="G2" s="345"/>
      <c r="H2" s="345"/>
      <c r="I2" s="345"/>
      <c r="J2" s="346"/>
    </row>
    <row r="3" spans="1:10" ht="18.399999999999999" customHeight="1" x14ac:dyDescent="0.2">
      <c r="A3" s="256" t="s">
        <v>5</v>
      </c>
      <c r="B3" s="328" t="s">
        <v>6</v>
      </c>
      <c r="C3" s="353"/>
      <c r="D3" s="312"/>
      <c r="E3" s="313"/>
      <c r="F3" s="344"/>
      <c r="G3" s="345"/>
      <c r="H3" s="345"/>
      <c r="I3" s="345"/>
      <c r="J3" s="346"/>
    </row>
    <row r="4" spans="1:10" ht="18.399999999999999" customHeight="1" x14ac:dyDescent="0.2">
      <c r="A4" s="270" t="s">
        <v>7</v>
      </c>
      <c r="B4" s="364"/>
      <c r="C4" s="365"/>
      <c r="D4" s="340"/>
      <c r="E4" s="366"/>
      <c r="F4" s="362"/>
      <c r="G4" s="363"/>
      <c r="H4" s="363"/>
      <c r="I4" s="363"/>
      <c r="J4" s="346"/>
    </row>
    <row r="5" spans="1:10" ht="18.399999999999999" customHeight="1" x14ac:dyDescent="0.2">
      <c r="A5" s="367" t="s">
        <v>8</v>
      </c>
      <c r="B5" s="368"/>
      <c r="C5" s="368"/>
      <c r="D5" s="368"/>
      <c r="E5" s="368"/>
      <c r="F5" s="368"/>
      <c r="G5" s="368"/>
      <c r="H5" s="368"/>
      <c r="I5" s="368"/>
      <c r="J5" s="368"/>
    </row>
    <row r="6" spans="1:10" ht="18.399999999999999" customHeight="1" x14ac:dyDescent="0.2">
      <c r="A6" s="360" t="s">
        <v>512</v>
      </c>
      <c r="B6" s="319"/>
      <c r="C6" s="319"/>
      <c r="D6" s="319"/>
      <c r="E6" s="325"/>
      <c r="F6" s="361" t="s">
        <v>9</v>
      </c>
      <c r="G6" s="341"/>
      <c r="H6" s="327"/>
      <c r="I6" s="231" t="s">
        <v>1140</v>
      </c>
      <c r="J6" s="232"/>
    </row>
    <row r="7" spans="1:10" ht="18.399999999999999" customHeight="1" x14ac:dyDescent="0.2">
      <c r="A7" s="324"/>
      <c r="B7" s="316"/>
      <c r="C7" s="316"/>
      <c r="D7" s="316"/>
      <c r="E7" s="325"/>
      <c r="F7" s="359" t="s">
        <v>10</v>
      </c>
      <c r="G7" s="312"/>
      <c r="H7" s="313"/>
      <c r="I7" s="255">
        <f>BDI!C20</f>
        <v>0.30049999999999999</v>
      </c>
      <c r="J7" s="238"/>
    </row>
    <row r="8" spans="1:10" ht="18.399999999999999" customHeight="1" x14ac:dyDescent="0.2">
      <c r="A8" s="326"/>
      <c r="B8" s="341"/>
      <c r="C8" s="341"/>
      <c r="D8" s="341"/>
      <c r="E8" s="327"/>
      <c r="F8" s="357" t="s">
        <v>11</v>
      </c>
      <c r="G8" s="312"/>
      <c r="H8" s="313"/>
      <c r="I8" s="253">
        <f>BDI!G20</f>
        <v>0.19900000000000001</v>
      </c>
      <c r="J8" s="234"/>
    </row>
    <row r="9" spans="1:10" ht="30" x14ac:dyDescent="0.2">
      <c r="A9" s="258" t="s">
        <v>12</v>
      </c>
      <c r="B9" s="245" t="s">
        <v>39</v>
      </c>
      <c r="C9" s="245" t="s">
        <v>299</v>
      </c>
      <c r="D9" s="245" t="s">
        <v>24</v>
      </c>
      <c r="E9" s="246" t="s">
        <v>25</v>
      </c>
      <c r="F9" s="226" t="s">
        <v>26</v>
      </c>
      <c r="G9" s="247" t="s">
        <v>27</v>
      </c>
      <c r="H9" s="248" t="s">
        <v>40</v>
      </c>
      <c r="I9" s="248" t="s">
        <v>29</v>
      </c>
      <c r="J9" s="248" t="s">
        <v>30</v>
      </c>
    </row>
    <row r="10" spans="1:10" s="169" customFormat="1" ht="18" x14ac:dyDescent="0.25">
      <c r="A10" s="281">
        <v>4</v>
      </c>
      <c r="B10" s="271"/>
      <c r="C10" s="271"/>
      <c r="D10" s="271"/>
      <c r="E10" s="283" t="s">
        <v>405</v>
      </c>
      <c r="F10" s="284"/>
      <c r="G10" s="285"/>
      <c r="H10" s="286"/>
      <c r="I10" s="275"/>
      <c r="J10" s="275">
        <f>SUBTOTAL(9,J11:J150)</f>
        <v>81093.150000000023</v>
      </c>
    </row>
    <row r="11" spans="1:10" x14ac:dyDescent="0.2">
      <c r="A11" s="282" t="s">
        <v>50</v>
      </c>
      <c r="B11" s="276"/>
      <c r="C11" s="276"/>
      <c r="D11" s="276"/>
      <c r="E11" s="277" t="s">
        <v>165</v>
      </c>
      <c r="F11" s="276"/>
      <c r="G11" s="278"/>
      <c r="H11" s="279"/>
      <c r="I11" s="280"/>
      <c r="J11" s="280">
        <f>SUBTOTAL(9,J12:J34)</f>
        <v>6438.12</v>
      </c>
    </row>
    <row r="12" spans="1:10" s="159" customFormat="1" x14ac:dyDescent="0.2">
      <c r="A12" s="282" t="s">
        <v>51</v>
      </c>
      <c r="B12" s="276"/>
      <c r="C12" s="276"/>
      <c r="D12" s="276"/>
      <c r="E12" s="277" t="s">
        <v>91</v>
      </c>
      <c r="F12" s="276"/>
      <c r="G12" s="278"/>
      <c r="H12" s="279"/>
      <c r="I12" s="280"/>
      <c r="J12" s="280">
        <f>SUBTOTAL(9,J13)</f>
        <v>241.56</v>
      </c>
    </row>
    <row r="13" spans="1:10" s="158" customFormat="1" x14ac:dyDescent="0.2">
      <c r="A13" s="266" t="s">
        <v>367</v>
      </c>
      <c r="B13" s="220">
        <v>99063</v>
      </c>
      <c r="C13" s="220" t="s">
        <v>1132</v>
      </c>
      <c r="D13" s="210" t="s">
        <v>32</v>
      </c>
      <c r="E13" s="203" t="s">
        <v>151</v>
      </c>
      <c r="F13" s="201" t="s">
        <v>35</v>
      </c>
      <c r="G13" s="204">
        <v>44</v>
      </c>
      <c r="H13" s="212">
        <v>4.22</v>
      </c>
      <c r="I13" s="212">
        <f>ROUND(IF(D13="S",(H13*(1+$I$7)),(H13*(1+$I$8))),2)</f>
        <v>5.49</v>
      </c>
      <c r="J13" s="212">
        <f>ROUND(G13*I13,2)</f>
        <v>241.56</v>
      </c>
    </row>
    <row r="14" spans="1:10" x14ac:dyDescent="0.2">
      <c r="A14" s="282" t="s">
        <v>52</v>
      </c>
      <c r="B14" s="276"/>
      <c r="C14" s="276"/>
      <c r="D14" s="276"/>
      <c r="E14" s="277" t="s">
        <v>94</v>
      </c>
      <c r="F14" s="276"/>
      <c r="G14" s="278"/>
      <c r="H14" s="279" t="s">
        <v>38</v>
      </c>
      <c r="I14" s="280"/>
      <c r="J14" s="280">
        <f>SUBTOTAL(9,J15:J17)</f>
        <v>1237.05</v>
      </c>
    </row>
    <row r="15" spans="1:10" ht="63.75" x14ac:dyDescent="0.2">
      <c r="A15" s="266" t="s">
        <v>406</v>
      </c>
      <c r="B15" s="220">
        <v>90091</v>
      </c>
      <c r="C15" s="220" t="s">
        <v>1132</v>
      </c>
      <c r="D15" s="210" t="s">
        <v>32</v>
      </c>
      <c r="E15" s="203" t="s">
        <v>152</v>
      </c>
      <c r="F15" s="201" t="s">
        <v>93</v>
      </c>
      <c r="G15" s="204">
        <v>22.44</v>
      </c>
      <c r="H15" s="212">
        <v>5.38</v>
      </c>
      <c r="I15" s="212">
        <f>ROUND(IF(D15="S",(H15*(1+$I$7)),(H15*(1+$I$8))),2)</f>
        <v>7</v>
      </c>
      <c r="J15" s="212">
        <f>ROUND(G15*I15,2)</f>
        <v>157.08000000000001</v>
      </c>
    </row>
    <row r="16" spans="1:10" s="159" customFormat="1" ht="25.5" x14ac:dyDescent="0.2">
      <c r="A16" s="266" t="s">
        <v>407</v>
      </c>
      <c r="B16" s="220">
        <v>101618</v>
      </c>
      <c r="C16" s="220" t="s">
        <v>1132</v>
      </c>
      <c r="D16" s="210" t="s">
        <v>32</v>
      </c>
      <c r="E16" s="203" t="s">
        <v>148</v>
      </c>
      <c r="F16" s="201" t="s">
        <v>93</v>
      </c>
      <c r="G16" s="204">
        <v>2.64</v>
      </c>
      <c r="H16" s="212">
        <v>169.93</v>
      </c>
      <c r="I16" s="212">
        <f>ROUND(IF(D16="S",(H16*(1+$I$7)),(H16*(1+$I$8))),2)</f>
        <v>220.99</v>
      </c>
      <c r="J16" s="212">
        <f>ROUND(G16*I16,2)</f>
        <v>583.41</v>
      </c>
    </row>
    <row r="17" spans="1:10" s="159" customFormat="1" ht="63.75" x14ac:dyDescent="0.2">
      <c r="A17" s="266" t="s">
        <v>408</v>
      </c>
      <c r="B17" s="220">
        <v>93378</v>
      </c>
      <c r="C17" s="220" t="s">
        <v>1132</v>
      </c>
      <c r="D17" s="210" t="s">
        <v>32</v>
      </c>
      <c r="E17" s="203" t="s">
        <v>189</v>
      </c>
      <c r="F17" s="201" t="s">
        <v>93</v>
      </c>
      <c r="G17" s="204">
        <v>19.45</v>
      </c>
      <c r="H17" s="212">
        <v>19.63</v>
      </c>
      <c r="I17" s="212">
        <f>ROUND(IF(D17="S",(H17*(1+$I$7)),(H17*(1+$I$8))),2)</f>
        <v>25.53</v>
      </c>
      <c r="J17" s="212">
        <f>ROUND(G17*I17,2)</f>
        <v>496.56</v>
      </c>
    </row>
    <row r="18" spans="1:10" x14ac:dyDescent="0.2">
      <c r="A18" s="282" t="s">
        <v>53</v>
      </c>
      <c r="B18" s="276"/>
      <c r="C18" s="276"/>
      <c r="D18" s="276"/>
      <c r="E18" s="277" t="s">
        <v>155</v>
      </c>
      <c r="F18" s="276"/>
      <c r="G18" s="278"/>
      <c r="H18" s="279" t="s">
        <v>38</v>
      </c>
      <c r="I18" s="280"/>
      <c r="J18" s="280">
        <f>SUBTOTAL(9,J19:J22)</f>
        <v>148.59</v>
      </c>
    </row>
    <row r="19" spans="1:10" ht="25.5" x14ac:dyDescent="0.2">
      <c r="A19" s="266" t="s">
        <v>54</v>
      </c>
      <c r="B19" s="305" t="s">
        <v>1138</v>
      </c>
      <c r="C19" s="220" t="s">
        <v>44</v>
      </c>
      <c r="D19" s="210" t="s">
        <v>32</v>
      </c>
      <c r="E19" s="203" t="s">
        <v>153</v>
      </c>
      <c r="F19" s="201" t="s">
        <v>154</v>
      </c>
      <c r="G19" s="204">
        <v>3.88</v>
      </c>
      <c r="H19" s="212">
        <v>10.99</v>
      </c>
      <c r="I19" s="212">
        <f>ROUND(IF(D19="S",(H19*(1+$I$7)),(H19*(1+$I$8))),2)</f>
        <v>14.29</v>
      </c>
      <c r="J19" s="212">
        <f>ROUND(G19*I19,2)</f>
        <v>55.45</v>
      </c>
    </row>
    <row r="20" spans="1:10" s="170" customFormat="1" ht="25.5" x14ac:dyDescent="0.2">
      <c r="A20" s="266" t="s">
        <v>714</v>
      </c>
      <c r="B20" s="220" t="s">
        <v>790</v>
      </c>
      <c r="C20" s="220" t="s">
        <v>44</v>
      </c>
      <c r="D20" s="210" t="s">
        <v>32</v>
      </c>
      <c r="E20" s="203" t="s">
        <v>697</v>
      </c>
      <c r="F20" s="201" t="s">
        <v>35</v>
      </c>
      <c r="G20" s="204">
        <v>44</v>
      </c>
      <c r="H20" s="212">
        <v>1.02</v>
      </c>
      <c r="I20" s="212">
        <f>ROUND(IF(D20="S",(H20*(1+$I$7)),(H20*(1+$I$8))),2)</f>
        <v>1.33</v>
      </c>
      <c r="J20" s="212">
        <f>ROUND(G20*I20,2)</f>
        <v>58.52</v>
      </c>
    </row>
    <row r="21" spans="1:10" s="170" customFormat="1" x14ac:dyDescent="0.2">
      <c r="A21" s="266" t="s">
        <v>715</v>
      </c>
      <c r="B21" s="220" t="s">
        <v>791</v>
      </c>
      <c r="C21" s="220" t="s">
        <v>44</v>
      </c>
      <c r="D21" s="210" t="s">
        <v>32</v>
      </c>
      <c r="E21" s="203" t="s">
        <v>699</v>
      </c>
      <c r="F21" s="201" t="s">
        <v>35</v>
      </c>
      <c r="G21" s="204">
        <f>G20</f>
        <v>44</v>
      </c>
      <c r="H21" s="212">
        <v>0.23</v>
      </c>
      <c r="I21" s="212">
        <f>ROUND(IF(D21="S",(H21*(1+$I$7)),(H21*(1+$I$8))),2)</f>
        <v>0.3</v>
      </c>
      <c r="J21" s="212">
        <f>ROUND(G21*I21,2)</f>
        <v>13.2</v>
      </c>
    </row>
    <row r="22" spans="1:10" s="170" customFormat="1" x14ac:dyDescent="0.2">
      <c r="A22" s="266" t="s">
        <v>716</v>
      </c>
      <c r="B22" s="220" t="s">
        <v>792</v>
      </c>
      <c r="C22" s="220" t="s">
        <v>44</v>
      </c>
      <c r="D22" s="210" t="s">
        <v>32</v>
      </c>
      <c r="E22" s="203" t="s">
        <v>700</v>
      </c>
      <c r="F22" s="201" t="s">
        <v>93</v>
      </c>
      <c r="G22" s="204">
        <v>0.35</v>
      </c>
      <c r="H22" s="212">
        <v>47.06</v>
      </c>
      <c r="I22" s="212">
        <f>ROUND(IF(D22="S",(H22*(1+$I$7)),(H22*(1+$I$8))),2)</f>
        <v>61.2</v>
      </c>
      <c r="J22" s="212">
        <f>ROUND(G22*I22,2)</f>
        <v>21.42</v>
      </c>
    </row>
    <row r="23" spans="1:10" x14ac:dyDescent="0.2">
      <c r="A23" s="282" t="s">
        <v>409</v>
      </c>
      <c r="B23" s="276"/>
      <c r="C23" s="276"/>
      <c r="D23" s="276"/>
      <c r="E23" s="277" t="s">
        <v>156</v>
      </c>
      <c r="F23" s="276"/>
      <c r="G23" s="278"/>
      <c r="H23" s="279" t="s">
        <v>38</v>
      </c>
      <c r="I23" s="280"/>
      <c r="J23" s="280">
        <f>SUBTOTAL(9,J24:J26)</f>
        <v>3965.17</v>
      </c>
    </row>
    <row r="24" spans="1:10" ht="25.5" x14ac:dyDescent="0.2">
      <c r="A24" s="266" t="s">
        <v>410</v>
      </c>
      <c r="B24" s="220">
        <v>9825</v>
      </c>
      <c r="C24" s="220" t="s">
        <v>1132</v>
      </c>
      <c r="D24" s="210" t="s">
        <v>49</v>
      </c>
      <c r="E24" s="203" t="s">
        <v>157</v>
      </c>
      <c r="F24" s="201" t="s">
        <v>35</v>
      </c>
      <c r="G24" s="204">
        <v>44</v>
      </c>
      <c r="H24" s="212">
        <v>55.12</v>
      </c>
      <c r="I24" s="212">
        <f>ROUND(IF(D24="S",(H24*(1+$I$7)),(H24*(1+$I$8))),2)</f>
        <v>66.09</v>
      </c>
      <c r="J24" s="212">
        <f>ROUND(G24*I24,2)</f>
        <v>2907.96</v>
      </c>
    </row>
    <row r="25" spans="1:10" x14ac:dyDescent="0.2">
      <c r="A25" s="266" t="s">
        <v>411</v>
      </c>
      <c r="B25" s="220" t="s">
        <v>795</v>
      </c>
      <c r="C25" s="220" t="s">
        <v>57</v>
      </c>
      <c r="D25" s="210" t="s">
        <v>49</v>
      </c>
      <c r="E25" s="203" t="s">
        <v>169</v>
      </c>
      <c r="F25" s="201" t="s">
        <v>158</v>
      </c>
      <c r="G25" s="204">
        <v>1</v>
      </c>
      <c r="H25" s="212">
        <v>190.37</v>
      </c>
      <c r="I25" s="212">
        <f>ROUND(IF(D25="S",(H25*(1+$I$7)),(H25*(1+$I$8))),2)</f>
        <v>228.25</v>
      </c>
      <c r="J25" s="212">
        <f>ROUND(G25*I25,2)</f>
        <v>228.25</v>
      </c>
    </row>
    <row r="26" spans="1:10" x14ac:dyDescent="0.2">
      <c r="A26" s="266" t="s">
        <v>412</v>
      </c>
      <c r="B26" s="220" t="s">
        <v>796</v>
      </c>
      <c r="C26" s="220" t="s">
        <v>57</v>
      </c>
      <c r="D26" s="210" t="s">
        <v>49</v>
      </c>
      <c r="E26" s="203" t="s">
        <v>159</v>
      </c>
      <c r="F26" s="201" t="s">
        <v>158</v>
      </c>
      <c r="G26" s="204">
        <v>1</v>
      </c>
      <c r="H26" s="212">
        <v>691.38</v>
      </c>
      <c r="I26" s="212">
        <f>ROUND(IF(D26="S",(H26*(1+$I$7)),(H26*(1+$I$8))),2)</f>
        <v>828.96</v>
      </c>
      <c r="J26" s="212">
        <f>ROUND(G26*I26,2)</f>
        <v>828.96</v>
      </c>
    </row>
    <row r="27" spans="1:10" s="159" customFormat="1" x14ac:dyDescent="0.2">
      <c r="A27" s="282" t="s">
        <v>413</v>
      </c>
      <c r="B27" s="276"/>
      <c r="C27" s="276"/>
      <c r="D27" s="276"/>
      <c r="E27" s="277" t="s">
        <v>160</v>
      </c>
      <c r="F27" s="276"/>
      <c r="G27" s="278"/>
      <c r="H27" s="279" t="s">
        <v>38</v>
      </c>
      <c r="I27" s="280"/>
      <c r="J27" s="280">
        <f>SUBTOTAL(9,J28:J30)</f>
        <v>265.26</v>
      </c>
    </row>
    <row r="28" spans="1:10" s="159" customFormat="1" ht="51" x14ac:dyDescent="0.2">
      <c r="A28" s="266" t="s">
        <v>414</v>
      </c>
      <c r="B28" s="220">
        <v>97134</v>
      </c>
      <c r="C28" s="220" t="s">
        <v>1132</v>
      </c>
      <c r="D28" s="210" t="s">
        <v>32</v>
      </c>
      <c r="E28" s="203" t="s">
        <v>161</v>
      </c>
      <c r="F28" s="201" t="s">
        <v>35</v>
      </c>
      <c r="G28" s="204">
        <v>44</v>
      </c>
      <c r="H28" s="212">
        <v>1.99</v>
      </c>
      <c r="I28" s="212">
        <f>ROUND(IF(D28="S",(H28*(1+$I$7)),(H28*(1+$I$8))),2)</f>
        <v>2.59</v>
      </c>
      <c r="J28" s="212">
        <f>ROUND(G28*I28,2)</f>
        <v>113.96</v>
      </c>
    </row>
    <row r="29" spans="1:10" s="192" customFormat="1" ht="38.25" x14ac:dyDescent="0.2">
      <c r="A29" s="266" t="s">
        <v>415</v>
      </c>
      <c r="B29" s="220" t="s">
        <v>946</v>
      </c>
      <c r="C29" s="220" t="s">
        <v>44</v>
      </c>
      <c r="D29" s="210" t="s">
        <v>32</v>
      </c>
      <c r="E29" s="203" t="s">
        <v>971</v>
      </c>
      <c r="F29" s="201" t="s">
        <v>45</v>
      </c>
      <c r="G29" s="204">
        <v>1</v>
      </c>
      <c r="H29" s="212">
        <v>41.27</v>
      </c>
      <c r="I29" s="212">
        <f>ROUND(IF(D29="S",(H29*(1+$I$7)),(H29*(1+$I$8))),2)</f>
        <v>53.67</v>
      </c>
      <c r="J29" s="212">
        <f>ROUND(G29*I29,2)</f>
        <v>53.67</v>
      </c>
    </row>
    <row r="30" spans="1:10" s="192" customFormat="1" ht="38.25" x14ac:dyDescent="0.2">
      <c r="A30" s="266" t="s">
        <v>416</v>
      </c>
      <c r="B30" s="220" t="s">
        <v>947</v>
      </c>
      <c r="C30" s="220" t="s">
        <v>44</v>
      </c>
      <c r="D30" s="210" t="s">
        <v>32</v>
      </c>
      <c r="E30" s="203" t="s">
        <v>970</v>
      </c>
      <c r="F30" s="201" t="s">
        <v>45</v>
      </c>
      <c r="G30" s="204">
        <v>1</v>
      </c>
      <c r="H30" s="212">
        <v>75.069999999999993</v>
      </c>
      <c r="I30" s="212">
        <f>ROUND(IF(D30="S",(H30*(1+$I$7)),(H30*(1+$I$8))),2)</f>
        <v>97.63</v>
      </c>
      <c r="J30" s="212">
        <f>ROUND(G30*I30,2)</f>
        <v>97.63</v>
      </c>
    </row>
    <row r="31" spans="1:10" s="159" customFormat="1" x14ac:dyDescent="0.2">
      <c r="A31" s="282" t="s">
        <v>417</v>
      </c>
      <c r="B31" s="276"/>
      <c r="C31" s="276"/>
      <c r="D31" s="276"/>
      <c r="E31" s="277" t="s">
        <v>58</v>
      </c>
      <c r="F31" s="276"/>
      <c r="G31" s="278"/>
      <c r="H31" s="279" t="s">
        <v>38</v>
      </c>
      <c r="I31" s="280"/>
      <c r="J31" s="280">
        <f>SUBTOTAL(9,J32:J34)</f>
        <v>580.49</v>
      </c>
    </row>
    <row r="32" spans="1:10" s="159" customFormat="1" ht="38.25" x14ac:dyDescent="0.2">
      <c r="A32" s="266" t="s">
        <v>418</v>
      </c>
      <c r="B32" s="220">
        <v>92423</v>
      </c>
      <c r="C32" s="220" t="s">
        <v>1132</v>
      </c>
      <c r="D32" s="210" t="s">
        <v>32</v>
      </c>
      <c r="E32" s="203" t="s">
        <v>185</v>
      </c>
      <c r="F32" s="201" t="s">
        <v>92</v>
      </c>
      <c r="G32" s="204">
        <v>2</v>
      </c>
      <c r="H32" s="212">
        <v>58.81</v>
      </c>
      <c r="I32" s="212">
        <f>ROUND(IF(D32="S",(H32*(1+$I$7)),(H32*(1+$I$8))),2)</f>
        <v>76.48</v>
      </c>
      <c r="J32" s="212">
        <f>ROUND(G32*I32,2)</f>
        <v>152.96</v>
      </c>
    </row>
    <row r="33" spans="1:10" s="159" customFormat="1" x14ac:dyDescent="0.2">
      <c r="A33" s="266" t="s">
        <v>419</v>
      </c>
      <c r="B33" s="220">
        <v>92882</v>
      </c>
      <c r="C33" s="220" t="s">
        <v>1132</v>
      </c>
      <c r="D33" s="210" t="s">
        <v>32</v>
      </c>
      <c r="E33" s="203" t="s">
        <v>184</v>
      </c>
      <c r="F33" s="201" t="s">
        <v>162</v>
      </c>
      <c r="G33" s="204">
        <v>15</v>
      </c>
      <c r="H33" s="212">
        <v>14.29</v>
      </c>
      <c r="I33" s="212">
        <f>ROUND(IF(D33="S",(H33*(1+$I$7)),(H33*(1+$I$8))),2)</f>
        <v>18.579999999999998</v>
      </c>
      <c r="J33" s="212">
        <f>ROUND(G33*I33,2)</f>
        <v>278.7</v>
      </c>
    </row>
    <row r="34" spans="1:10" s="159" customFormat="1" ht="38.25" x14ac:dyDescent="0.2">
      <c r="A34" s="266" t="s">
        <v>420</v>
      </c>
      <c r="B34" s="220">
        <v>94964</v>
      </c>
      <c r="C34" s="220" t="s">
        <v>1132</v>
      </c>
      <c r="D34" s="210" t="s">
        <v>32</v>
      </c>
      <c r="E34" s="203" t="s">
        <v>149</v>
      </c>
      <c r="F34" s="201" t="s">
        <v>93</v>
      </c>
      <c r="G34" s="204">
        <v>0.25</v>
      </c>
      <c r="H34" s="212">
        <v>457.76</v>
      </c>
      <c r="I34" s="212">
        <f>ROUND(IF(D34="S",(H34*(1+$I$7)),(H34*(1+$I$8))),2)</f>
        <v>595.32000000000005</v>
      </c>
      <c r="J34" s="212">
        <f>ROUND(G34*I34,2)</f>
        <v>148.83000000000001</v>
      </c>
    </row>
    <row r="35" spans="1:10" s="159" customFormat="1" x14ac:dyDescent="0.2">
      <c r="A35" s="282" t="s">
        <v>421</v>
      </c>
      <c r="B35" s="276"/>
      <c r="C35" s="276"/>
      <c r="D35" s="276"/>
      <c r="E35" s="277" t="s">
        <v>164</v>
      </c>
      <c r="F35" s="276"/>
      <c r="G35" s="278"/>
      <c r="H35" s="279" t="s">
        <v>38</v>
      </c>
      <c r="I35" s="280"/>
      <c r="J35" s="280">
        <f>SUBTOTAL(9,J36:J58)</f>
        <v>7968.67</v>
      </c>
    </row>
    <row r="36" spans="1:10" s="159" customFormat="1" x14ac:dyDescent="0.2">
      <c r="A36" s="282" t="s">
        <v>422</v>
      </c>
      <c r="B36" s="276"/>
      <c r="C36" s="276"/>
      <c r="D36" s="276"/>
      <c r="E36" s="277" t="s">
        <v>91</v>
      </c>
      <c r="F36" s="276"/>
      <c r="G36" s="278"/>
      <c r="H36" s="279" t="s">
        <v>38</v>
      </c>
      <c r="I36" s="280"/>
      <c r="J36" s="280">
        <f>SUBTOTAL(9,J37)</f>
        <v>312.93</v>
      </c>
    </row>
    <row r="37" spans="1:10" s="159" customFormat="1" x14ac:dyDescent="0.2">
      <c r="A37" s="266" t="s">
        <v>423</v>
      </c>
      <c r="B37" s="220">
        <v>99063</v>
      </c>
      <c r="C37" s="220" t="s">
        <v>1132</v>
      </c>
      <c r="D37" s="210" t="s">
        <v>32</v>
      </c>
      <c r="E37" s="203" t="s">
        <v>151</v>
      </c>
      <c r="F37" s="201" t="s">
        <v>35</v>
      </c>
      <c r="G37" s="204">
        <v>57</v>
      </c>
      <c r="H37" s="212">
        <v>4.22</v>
      </c>
      <c r="I37" s="212">
        <f>ROUND(IF(D37="S",(H37*(1+$I$7)),(H37*(1+$I$8))),2)</f>
        <v>5.49</v>
      </c>
      <c r="J37" s="212">
        <f>ROUND(G37*I37,2)</f>
        <v>312.93</v>
      </c>
    </row>
    <row r="38" spans="1:10" s="159" customFormat="1" x14ac:dyDescent="0.2">
      <c r="A38" s="282" t="s">
        <v>424</v>
      </c>
      <c r="B38" s="276"/>
      <c r="C38" s="276"/>
      <c r="D38" s="276"/>
      <c r="E38" s="277" t="s">
        <v>94</v>
      </c>
      <c r="F38" s="276"/>
      <c r="G38" s="278"/>
      <c r="H38" s="279" t="s">
        <v>38</v>
      </c>
      <c r="I38" s="280"/>
      <c r="J38" s="280">
        <f>SUBTOTAL(9,J39:J41)</f>
        <v>1759.65</v>
      </c>
    </row>
    <row r="39" spans="1:10" s="159" customFormat="1" ht="63.75" x14ac:dyDescent="0.2">
      <c r="A39" s="266" t="s">
        <v>425</v>
      </c>
      <c r="B39" s="220">
        <v>90091</v>
      </c>
      <c r="C39" s="220" t="s">
        <v>1132</v>
      </c>
      <c r="D39" s="210" t="s">
        <v>32</v>
      </c>
      <c r="E39" s="203" t="s">
        <v>152</v>
      </c>
      <c r="F39" s="201" t="s">
        <v>93</v>
      </c>
      <c r="G39" s="204">
        <v>29.07</v>
      </c>
      <c r="H39" s="212">
        <v>5.38</v>
      </c>
      <c r="I39" s="212">
        <f>ROUND(IF(D39="S",(H39*(1+$I$7)),(H39*(1+$I$8))),2)</f>
        <v>7</v>
      </c>
      <c r="J39" s="212">
        <f>ROUND(G39*I39,2)</f>
        <v>203.49</v>
      </c>
    </row>
    <row r="40" spans="1:10" s="159" customFormat="1" ht="25.5" x14ac:dyDescent="0.2">
      <c r="A40" s="266" t="s">
        <v>426</v>
      </c>
      <c r="B40" s="220">
        <v>101618</v>
      </c>
      <c r="C40" s="220" t="s">
        <v>1132</v>
      </c>
      <c r="D40" s="210" t="s">
        <v>32</v>
      </c>
      <c r="E40" s="203" t="s">
        <v>148</v>
      </c>
      <c r="F40" s="201" t="s">
        <v>93</v>
      </c>
      <c r="G40" s="204">
        <v>3.42</v>
      </c>
      <c r="H40" s="212">
        <v>169.93</v>
      </c>
      <c r="I40" s="212">
        <f>ROUND(IF(D40="S",(H40*(1+$I$7)),(H40*(1+$I$8))),2)</f>
        <v>220.99</v>
      </c>
      <c r="J40" s="212">
        <f>ROUND(G40*I40,2)</f>
        <v>755.79</v>
      </c>
    </row>
    <row r="41" spans="1:10" s="159" customFormat="1" ht="63.75" x14ac:dyDescent="0.2">
      <c r="A41" s="266" t="s">
        <v>427</v>
      </c>
      <c r="B41" s="220">
        <v>93378</v>
      </c>
      <c r="C41" s="220" t="s">
        <v>1132</v>
      </c>
      <c r="D41" s="210" t="s">
        <v>32</v>
      </c>
      <c r="E41" s="203" t="s">
        <v>189</v>
      </c>
      <c r="F41" s="201" t="s">
        <v>93</v>
      </c>
      <c r="G41" s="204">
        <v>31.35</v>
      </c>
      <c r="H41" s="212">
        <v>19.63</v>
      </c>
      <c r="I41" s="212">
        <f>ROUND(IF(D41="S",(H41*(1+$I$7)),(H41*(1+$I$8))),2)</f>
        <v>25.53</v>
      </c>
      <c r="J41" s="212">
        <f>ROUND(G41*I41,2)</f>
        <v>800.37</v>
      </c>
    </row>
    <row r="42" spans="1:10" s="159" customFormat="1" x14ac:dyDescent="0.2">
      <c r="A42" s="282" t="s">
        <v>428</v>
      </c>
      <c r="B42" s="276"/>
      <c r="C42" s="276"/>
      <c r="D42" s="276"/>
      <c r="E42" s="277" t="s">
        <v>155</v>
      </c>
      <c r="F42" s="276"/>
      <c r="G42" s="278"/>
      <c r="H42" s="279" t="s">
        <v>38</v>
      </c>
      <c r="I42" s="280"/>
      <c r="J42" s="280">
        <f>SUBTOTAL(9,J43:J46)</f>
        <v>192.32999999999998</v>
      </c>
    </row>
    <row r="43" spans="1:10" s="159" customFormat="1" ht="25.5" x14ac:dyDescent="0.2">
      <c r="A43" s="266" t="s">
        <v>429</v>
      </c>
      <c r="B43" s="305" t="s">
        <v>1138</v>
      </c>
      <c r="C43" s="220" t="s">
        <v>44</v>
      </c>
      <c r="D43" s="210" t="s">
        <v>32</v>
      </c>
      <c r="E43" s="203" t="s">
        <v>153</v>
      </c>
      <c r="F43" s="201" t="s">
        <v>154</v>
      </c>
      <c r="G43" s="204">
        <v>5.03</v>
      </c>
      <c r="H43" s="212">
        <v>10.99</v>
      </c>
      <c r="I43" s="212">
        <f>ROUND(IF(D43="S",(H43*(1+$I$7)),(H43*(1+$I$8))),2)</f>
        <v>14.29</v>
      </c>
      <c r="J43" s="212">
        <f>ROUND(G43*I43,2)</f>
        <v>71.88</v>
      </c>
    </row>
    <row r="44" spans="1:10" s="170" customFormat="1" ht="25.5" x14ac:dyDescent="0.2">
      <c r="A44" s="266" t="s">
        <v>720</v>
      </c>
      <c r="B44" s="220" t="s">
        <v>790</v>
      </c>
      <c r="C44" s="220" t="s">
        <v>44</v>
      </c>
      <c r="D44" s="210" t="s">
        <v>32</v>
      </c>
      <c r="E44" s="203" t="s">
        <v>697</v>
      </c>
      <c r="F44" s="201" t="s">
        <v>35</v>
      </c>
      <c r="G44" s="204">
        <v>57</v>
      </c>
      <c r="H44" s="212">
        <v>1.02</v>
      </c>
      <c r="I44" s="212">
        <f>ROUND(IF(D44="S",(H44*(1+$I$7)),(H44*(1+$I$8))),2)</f>
        <v>1.33</v>
      </c>
      <c r="J44" s="212">
        <f>ROUND(G44*I44,2)</f>
        <v>75.81</v>
      </c>
    </row>
    <row r="45" spans="1:10" s="170" customFormat="1" x14ac:dyDescent="0.2">
      <c r="A45" s="266" t="s">
        <v>721</v>
      </c>
      <c r="B45" s="220" t="s">
        <v>791</v>
      </c>
      <c r="C45" s="220" t="s">
        <v>44</v>
      </c>
      <c r="D45" s="210" t="s">
        <v>32</v>
      </c>
      <c r="E45" s="203" t="s">
        <v>699</v>
      </c>
      <c r="F45" s="201" t="s">
        <v>35</v>
      </c>
      <c r="G45" s="204">
        <f>G44</f>
        <v>57</v>
      </c>
      <c r="H45" s="212">
        <v>0.23</v>
      </c>
      <c r="I45" s="212">
        <f>ROUND(IF(D45="S",(H45*(1+$I$7)),(H45*(1+$I$8))),2)</f>
        <v>0.3</v>
      </c>
      <c r="J45" s="212">
        <f>ROUND(G45*I45,2)</f>
        <v>17.100000000000001</v>
      </c>
    </row>
    <row r="46" spans="1:10" s="170" customFormat="1" x14ac:dyDescent="0.2">
      <c r="A46" s="266" t="s">
        <v>722</v>
      </c>
      <c r="B46" s="220" t="s">
        <v>792</v>
      </c>
      <c r="C46" s="220" t="s">
        <v>44</v>
      </c>
      <c r="D46" s="210" t="s">
        <v>32</v>
      </c>
      <c r="E46" s="203" t="s">
        <v>700</v>
      </c>
      <c r="F46" s="201" t="s">
        <v>93</v>
      </c>
      <c r="G46" s="204">
        <v>0.45</v>
      </c>
      <c r="H46" s="212">
        <v>47.06</v>
      </c>
      <c r="I46" s="212">
        <f>ROUND(IF(D46="S",(H46*(1+$I$7)),(H46*(1+$I$8))),2)</f>
        <v>61.2</v>
      </c>
      <c r="J46" s="212">
        <f>ROUND(G46*I46,2)</f>
        <v>27.54</v>
      </c>
    </row>
    <row r="47" spans="1:10" s="159" customFormat="1" x14ac:dyDescent="0.2">
      <c r="A47" s="282" t="s">
        <v>430</v>
      </c>
      <c r="B47" s="276"/>
      <c r="C47" s="276"/>
      <c r="D47" s="276"/>
      <c r="E47" s="277" t="s">
        <v>156</v>
      </c>
      <c r="F47" s="276"/>
      <c r="G47" s="278"/>
      <c r="H47" s="279" t="s">
        <v>38</v>
      </c>
      <c r="I47" s="280"/>
      <c r="J47" s="280">
        <f>SUBTOTAL(9,J48:J50)</f>
        <v>4824.34</v>
      </c>
    </row>
    <row r="48" spans="1:10" s="159" customFormat="1" ht="25.5" x14ac:dyDescent="0.2">
      <c r="A48" s="266" t="s">
        <v>431</v>
      </c>
      <c r="B48" s="220">
        <v>9825</v>
      </c>
      <c r="C48" s="220" t="s">
        <v>1132</v>
      </c>
      <c r="D48" s="210" t="s">
        <v>49</v>
      </c>
      <c r="E48" s="203" t="s">
        <v>157</v>
      </c>
      <c r="F48" s="201" t="s">
        <v>35</v>
      </c>
      <c r="G48" s="204">
        <v>57</v>
      </c>
      <c r="H48" s="212">
        <v>55.12</v>
      </c>
      <c r="I48" s="212">
        <f>ROUND(IF(D48="S",(H48*(1+$I$7)),(H48*(1+$I$8))),2)</f>
        <v>66.09</v>
      </c>
      <c r="J48" s="212">
        <f>ROUND(G48*I48,2)</f>
        <v>3767.13</v>
      </c>
    </row>
    <row r="49" spans="1:10" s="159" customFormat="1" x14ac:dyDescent="0.2">
      <c r="A49" s="266" t="s">
        <v>432</v>
      </c>
      <c r="B49" s="220" t="s">
        <v>795</v>
      </c>
      <c r="C49" s="220" t="s">
        <v>57</v>
      </c>
      <c r="D49" s="210" t="s">
        <v>49</v>
      </c>
      <c r="E49" s="203" t="s">
        <v>169</v>
      </c>
      <c r="F49" s="201" t="s">
        <v>158</v>
      </c>
      <c r="G49" s="204">
        <v>1</v>
      </c>
      <c r="H49" s="212">
        <v>190.37</v>
      </c>
      <c r="I49" s="212">
        <f>ROUND(IF(D49="S",(H49*(1+$I$7)),(H49*(1+$I$8))),2)</f>
        <v>228.25</v>
      </c>
      <c r="J49" s="212">
        <f>ROUND(G49*I49,2)</f>
        <v>228.25</v>
      </c>
    </row>
    <row r="50" spans="1:10" s="159" customFormat="1" x14ac:dyDescent="0.2">
      <c r="A50" s="266" t="s">
        <v>433</v>
      </c>
      <c r="B50" s="220" t="s">
        <v>796</v>
      </c>
      <c r="C50" s="220" t="s">
        <v>57</v>
      </c>
      <c r="D50" s="210" t="s">
        <v>49</v>
      </c>
      <c r="E50" s="203" t="s">
        <v>159</v>
      </c>
      <c r="F50" s="201" t="s">
        <v>158</v>
      </c>
      <c r="G50" s="204">
        <v>1</v>
      </c>
      <c r="H50" s="212">
        <v>691.38</v>
      </c>
      <c r="I50" s="212">
        <f>ROUND(IF(D50="S",(H50*(1+$I$7)),(H50*(1+$I$8))),2)</f>
        <v>828.96</v>
      </c>
      <c r="J50" s="212">
        <f>ROUND(G50*I50,2)</f>
        <v>828.96</v>
      </c>
    </row>
    <row r="51" spans="1:10" s="159" customFormat="1" x14ac:dyDescent="0.2">
      <c r="A51" s="282" t="s">
        <v>434</v>
      </c>
      <c r="B51" s="276"/>
      <c r="C51" s="276"/>
      <c r="D51" s="276"/>
      <c r="E51" s="277" t="s">
        <v>160</v>
      </c>
      <c r="F51" s="276"/>
      <c r="G51" s="278"/>
      <c r="H51" s="279" t="s">
        <v>38</v>
      </c>
      <c r="I51" s="280"/>
      <c r="J51" s="280">
        <f>SUBTOTAL(9,J52:J54)</f>
        <v>298.93</v>
      </c>
    </row>
    <row r="52" spans="1:10" s="159" customFormat="1" ht="51" x14ac:dyDescent="0.2">
      <c r="A52" s="266" t="s">
        <v>435</v>
      </c>
      <c r="B52" s="220">
        <v>97134</v>
      </c>
      <c r="C52" s="220" t="s">
        <v>1132</v>
      </c>
      <c r="D52" s="210" t="s">
        <v>32</v>
      </c>
      <c r="E52" s="203" t="s">
        <v>161</v>
      </c>
      <c r="F52" s="201" t="s">
        <v>35</v>
      </c>
      <c r="G52" s="204">
        <v>57</v>
      </c>
      <c r="H52" s="212">
        <v>1.99</v>
      </c>
      <c r="I52" s="212">
        <f>ROUND(IF(D52="S",(H52*(1+$I$7)),(H52*(1+$I$8))),2)</f>
        <v>2.59</v>
      </c>
      <c r="J52" s="212">
        <f>ROUND(G52*I52,2)</f>
        <v>147.63</v>
      </c>
    </row>
    <row r="53" spans="1:10" s="159" customFormat="1" ht="38.25" x14ac:dyDescent="0.2">
      <c r="A53" s="266" t="s">
        <v>436</v>
      </c>
      <c r="B53" s="220" t="s">
        <v>946</v>
      </c>
      <c r="C53" s="220" t="s">
        <v>44</v>
      </c>
      <c r="D53" s="210" t="s">
        <v>32</v>
      </c>
      <c r="E53" s="203" t="s">
        <v>971</v>
      </c>
      <c r="F53" s="201" t="s">
        <v>45</v>
      </c>
      <c r="G53" s="204">
        <v>1</v>
      </c>
      <c r="H53" s="212">
        <v>41.27</v>
      </c>
      <c r="I53" s="212">
        <f>ROUND(IF(D53="S",(H53*(1+$I$7)),(H53*(1+$I$8))),2)</f>
        <v>53.67</v>
      </c>
      <c r="J53" s="212">
        <f>ROUND(G53*I53,2)</f>
        <v>53.67</v>
      </c>
    </row>
    <row r="54" spans="1:10" s="159" customFormat="1" ht="38.25" x14ac:dyDescent="0.2">
      <c r="A54" s="266" t="s">
        <v>437</v>
      </c>
      <c r="B54" s="220" t="s">
        <v>947</v>
      </c>
      <c r="C54" s="220" t="s">
        <v>44</v>
      </c>
      <c r="D54" s="210" t="s">
        <v>32</v>
      </c>
      <c r="E54" s="203" t="s">
        <v>970</v>
      </c>
      <c r="F54" s="201" t="s">
        <v>45</v>
      </c>
      <c r="G54" s="204">
        <v>1</v>
      </c>
      <c r="H54" s="212">
        <v>75.069999999999993</v>
      </c>
      <c r="I54" s="212">
        <f>ROUND(IF(D54="S",(H54*(1+$I$7)),(H54*(1+$I$8))),2)</f>
        <v>97.63</v>
      </c>
      <c r="J54" s="212">
        <f>ROUND(G54*I54,2)</f>
        <v>97.63</v>
      </c>
    </row>
    <row r="55" spans="1:10" s="159" customFormat="1" x14ac:dyDescent="0.2">
      <c r="A55" s="282" t="s">
        <v>438</v>
      </c>
      <c r="B55" s="276"/>
      <c r="C55" s="276"/>
      <c r="D55" s="276"/>
      <c r="E55" s="277" t="s">
        <v>58</v>
      </c>
      <c r="F55" s="276"/>
      <c r="G55" s="278"/>
      <c r="H55" s="279" t="s">
        <v>38</v>
      </c>
      <c r="I55" s="280"/>
      <c r="J55" s="280">
        <f>SUBTOTAL(9,J56:J58)</f>
        <v>580.49</v>
      </c>
    </row>
    <row r="56" spans="1:10" s="159" customFormat="1" ht="38.25" x14ac:dyDescent="0.2">
      <c r="A56" s="266" t="s">
        <v>439</v>
      </c>
      <c r="B56" s="220">
        <v>92423</v>
      </c>
      <c r="C56" s="220" t="s">
        <v>1132</v>
      </c>
      <c r="D56" s="210" t="s">
        <v>32</v>
      </c>
      <c r="E56" s="203" t="s">
        <v>185</v>
      </c>
      <c r="F56" s="201" t="s">
        <v>92</v>
      </c>
      <c r="G56" s="204">
        <v>2</v>
      </c>
      <c r="H56" s="212">
        <v>58.81</v>
      </c>
      <c r="I56" s="212">
        <f>ROUND(IF(D56="S",(H56*(1+$I$7)),(H56*(1+$I$8))),2)</f>
        <v>76.48</v>
      </c>
      <c r="J56" s="212">
        <f>ROUND(G56*I56,2)</f>
        <v>152.96</v>
      </c>
    </row>
    <row r="57" spans="1:10" s="159" customFormat="1" x14ac:dyDescent="0.2">
      <c r="A57" s="266" t="s">
        <v>440</v>
      </c>
      <c r="B57" s="220">
        <v>92882</v>
      </c>
      <c r="C57" s="220" t="s">
        <v>1132</v>
      </c>
      <c r="D57" s="210" t="s">
        <v>32</v>
      </c>
      <c r="E57" s="203" t="s">
        <v>184</v>
      </c>
      <c r="F57" s="201" t="s">
        <v>162</v>
      </c>
      <c r="G57" s="204">
        <v>15</v>
      </c>
      <c r="H57" s="212">
        <v>14.29</v>
      </c>
      <c r="I57" s="212">
        <f>ROUND(IF(D57="S",(H57*(1+$I$7)),(H57*(1+$I$8))),2)</f>
        <v>18.579999999999998</v>
      </c>
      <c r="J57" s="212">
        <f>ROUND(G57*I57,2)</f>
        <v>278.7</v>
      </c>
    </row>
    <row r="58" spans="1:10" s="159" customFormat="1" ht="38.25" x14ac:dyDescent="0.2">
      <c r="A58" s="266" t="s">
        <v>441</v>
      </c>
      <c r="B58" s="220">
        <v>94964</v>
      </c>
      <c r="C58" s="220" t="s">
        <v>1132</v>
      </c>
      <c r="D58" s="210" t="s">
        <v>32</v>
      </c>
      <c r="E58" s="203" t="s">
        <v>149</v>
      </c>
      <c r="F58" s="201" t="s">
        <v>93</v>
      </c>
      <c r="G58" s="204">
        <v>0.25</v>
      </c>
      <c r="H58" s="212">
        <v>457.76</v>
      </c>
      <c r="I58" s="212">
        <f>ROUND(IF(D58="S",(H58*(1+$I$7)),(H58*(1+$I$8))),2)</f>
        <v>595.32000000000005</v>
      </c>
      <c r="J58" s="212">
        <f>ROUND(G58*I58,2)</f>
        <v>148.83000000000001</v>
      </c>
    </row>
    <row r="59" spans="1:10" s="159" customFormat="1" x14ac:dyDescent="0.2">
      <c r="A59" s="282" t="s">
        <v>442</v>
      </c>
      <c r="B59" s="276"/>
      <c r="C59" s="276"/>
      <c r="D59" s="276"/>
      <c r="E59" s="277" t="s">
        <v>163</v>
      </c>
      <c r="F59" s="276"/>
      <c r="G59" s="278"/>
      <c r="H59" s="279" t="s">
        <v>38</v>
      </c>
      <c r="I59" s="280"/>
      <c r="J59" s="280">
        <f>SUBTOTAL(9,J60:J83)</f>
        <v>16591.560000000001</v>
      </c>
    </row>
    <row r="60" spans="1:10" s="159" customFormat="1" x14ac:dyDescent="0.2">
      <c r="A60" s="282" t="s">
        <v>443</v>
      </c>
      <c r="B60" s="276"/>
      <c r="C60" s="276"/>
      <c r="D60" s="276"/>
      <c r="E60" s="277" t="s">
        <v>91</v>
      </c>
      <c r="F60" s="276"/>
      <c r="G60" s="278"/>
      <c r="H60" s="279" t="s">
        <v>38</v>
      </c>
      <c r="I60" s="280"/>
      <c r="J60" s="280">
        <f>SUBTOTAL(9,J61)</f>
        <v>54.9</v>
      </c>
    </row>
    <row r="61" spans="1:10" s="159" customFormat="1" x14ac:dyDescent="0.2">
      <c r="A61" s="266" t="s">
        <v>55</v>
      </c>
      <c r="B61" s="220">
        <v>99063</v>
      </c>
      <c r="C61" s="220" t="s">
        <v>1132</v>
      </c>
      <c r="D61" s="210" t="s">
        <v>32</v>
      </c>
      <c r="E61" s="203" t="s">
        <v>151</v>
      </c>
      <c r="F61" s="201" t="s">
        <v>35</v>
      </c>
      <c r="G61" s="204">
        <v>10</v>
      </c>
      <c r="H61" s="212">
        <v>4.22</v>
      </c>
      <c r="I61" s="212">
        <f>ROUND(IF(D61="S",(H61*(1+$I$7)),(H61*(1+$I$8))),2)</f>
        <v>5.49</v>
      </c>
      <c r="J61" s="212">
        <f>ROUND(G61*I61,2)</f>
        <v>54.9</v>
      </c>
    </row>
    <row r="62" spans="1:10" s="159" customFormat="1" x14ac:dyDescent="0.2">
      <c r="A62" s="282" t="s">
        <v>444</v>
      </c>
      <c r="B62" s="276"/>
      <c r="C62" s="276"/>
      <c r="D62" s="276"/>
      <c r="E62" s="277" t="s">
        <v>94</v>
      </c>
      <c r="F62" s="276"/>
      <c r="G62" s="278"/>
      <c r="H62" s="279" t="s">
        <v>38</v>
      </c>
      <c r="I62" s="280"/>
      <c r="J62" s="280">
        <f>SUBTOTAL(9,J63:J65)</f>
        <v>460.76</v>
      </c>
    </row>
    <row r="63" spans="1:10" s="159" customFormat="1" ht="63.75" x14ac:dyDescent="0.2">
      <c r="A63" s="266" t="s">
        <v>56</v>
      </c>
      <c r="B63" s="220">
        <v>90091</v>
      </c>
      <c r="C63" s="220" t="s">
        <v>1132</v>
      </c>
      <c r="D63" s="210" t="s">
        <v>32</v>
      </c>
      <c r="E63" s="203" t="s">
        <v>152</v>
      </c>
      <c r="F63" s="201" t="s">
        <v>93</v>
      </c>
      <c r="G63" s="204">
        <v>8.8000000000000007</v>
      </c>
      <c r="H63" s="212">
        <v>5.38</v>
      </c>
      <c r="I63" s="212">
        <f>ROUND(IF(D63="S",(H63*(1+$I$7)),(H63*(1+$I$8))),2)</f>
        <v>7</v>
      </c>
      <c r="J63" s="212">
        <f>ROUND(G63*I63,2)</f>
        <v>61.6</v>
      </c>
    </row>
    <row r="64" spans="1:10" s="159" customFormat="1" ht="25.5" x14ac:dyDescent="0.2">
      <c r="A64" s="266" t="s">
        <v>445</v>
      </c>
      <c r="B64" s="220">
        <v>101618</v>
      </c>
      <c r="C64" s="220" t="s">
        <v>1132</v>
      </c>
      <c r="D64" s="210" t="s">
        <v>32</v>
      </c>
      <c r="E64" s="203" t="s">
        <v>148</v>
      </c>
      <c r="F64" s="201" t="s">
        <v>93</v>
      </c>
      <c r="G64" s="204">
        <v>0.8</v>
      </c>
      <c r="H64" s="212">
        <v>169.93</v>
      </c>
      <c r="I64" s="212">
        <f>ROUND(IF(D64="S",(H64*(1+$I$7)),(H64*(1+$I$8))),2)</f>
        <v>220.99</v>
      </c>
      <c r="J64" s="212">
        <f>ROUND(G64*I64,2)</f>
        <v>176.79</v>
      </c>
    </row>
    <row r="65" spans="1:10" s="159" customFormat="1" ht="63.75" x14ac:dyDescent="0.2">
      <c r="A65" s="266" t="s">
        <v>446</v>
      </c>
      <c r="B65" s="220">
        <v>93378</v>
      </c>
      <c r="C65" s="220" t="s">
        <v>1132</v>
      </c>
      <c r="D65" s="210" t="s">
        <v>32</v>
      </c>
      <c r="E65" s="203" t="s">
        <v>189</v>
      </c>
      <c r="F65" s="201" t="s">
        <v>93</v>
      </c>
      <c r="G65" s="204">
        <v>8.7100000000000009</v>
      </c>
      <c r="H65" s="212">
        <v>19.63</v>
      </c>
      <c r="I65" s="212">
        <f>ROUND(IF(D65="S",(H65*(1+$I$7)),(H65*(1+$I$8))),2)</f>
        <v>25.53</v>
      </c>
      <c r="J65" s="212">
        <f>ROUND(G65*I65,2)</f>
        <v>222.37</v>
      </c>
    </row>
    <row r="66" spans="1:10" s="159" customFormat="1" x14ac:dyDescent="0.2">
      <c r="A66" s="282" t="s">
        <v>447</v>
      </c>
      <c r="B66" s="276"/>
      <c r="C66" s="276"/>
      <c r="D66" s="276"/>
      <c r="E66" s="277" t="s">
        <v>155</v>
      </c>
      <c r="F66" s="276"/>
      <c r="G66" s="278"/>
      <c r="H66" s="279" t="s">
        <v>38</v>
      </c>
      <c r="I66" s="280"/>
      <c r="J66" s="280">
        <f>SUBTOTAL(9,J67:J70)</f>
        <v>116.37</v>
      </c>
    </row>
    <row r="67" spans="1:10" s="159" customFormat="1" ht="25.5" x14ac:dyDescent="0.2">
      <c r="A67" s="266" t="s">
        <v>448</v>
      </c>
      <c r="B67" s="305" t="s">
        <v>1138</v>
      </c>
      <c r="C67" s="220" t="s">
        <v>44</v>
      </c>
      <c r="D67" s="210" t="s">
        <v>32</v>
      </c>
      <c r="E67" s="203" t="s">
        <v>153</v>
      </c>
      <c r="F67" s="201" t="s">
        <v>154</v>
      </c>
      <c r="G67" s="204">
        <v>1.96</v>
      </c>
      <c r="H67" s="212">
        <v>10.99</v>
      </c>
      <c r="I67" s="212">
        <f>ROUND(IF(D67="S",(H67*(1+$I$7)),(H67*(1+$I$8))),2)</f>
        <v>14.29</v>
      </c>
      <c r="J67" s="212">
        <f>ROUND(G67*I67,2)</f>
        <v>28.01</v>
      </c>
    </row>
    <row r="68" spans="1:10" s="170" customFormat="1" ht="25.5" x14ac:dyDescent="0.2">
      <c r="A68" s="266" t="s">
        <v>740</v>
      </c>
      <c r="B68" s="220" t="s">
        <v>804</v>
      </c>
      <c r="C68" s="220" t="s">
        <v>44</v>
      </c>
      <c r="D68" s="210" t="s">
        <v>32</v>
      </c>
      <c r="E68" s="203" t="s">
        <v>805</v>
      </c>
      <c r="F68" s="201" t="s">
        <v>35</v>
      </c>
      <c r="G68" s="204">
        <v>10</v>
      </c>
      <c r="H68" s="212">
        <v>3.24</v>
      </c>
      <c r="I68" s="212">
        <f>ROUND(IF(D68="S",(H68*(1+$I$7)),(H68*(1+$I$8))),2)</f>
        <v>4.21</v>
      </c>
      <c r="J68" s="212">
        <f>ROUND(G68*I68,2)</f>
        <v>42.1</v>
      </c>
    </row>
    <row r="69" spans="1:10" s="170" customFormat="1" x14ac:dyDescent="0.2">
      <c r="A69" s="266" t="s">
        <v>741</v>
      </c>
      <c r="B69" s="220" t="s">
        <v>791</v>
      </c>
      <c r="C69" s="220" t="s">
        <v>44</v>
      </c>
      <c r="D69" s="210" t="s">
        <v>32</v>
      </c>
      <c r="E69" s="203" t="s">
        <v>699</v>
      </c>
      <c r="F69" s="201" t="s">
        <v>35</v>
      </c>
      <c r="G69" s="204">
        <f>G68</f>
        <v>10</v>
      </c>
      <c r="H69" s="212">
        <v>0.23</v>
      </c>
      <c r="I69" s="212">
        <f>ROUND(IF(D69="S",(H69*(1+$I$7)),(H69*(1+$I$8))),2)</f>
        <v>0.3</v>
      </c>
      <c r="J69" s="212">
        <f>ROUND(G69*I69,2)</f>
        <v>3</v>
      </c>
    </row>
    <row r="70" spans="1:10" s="170" customFormat="1" x14ac:dyDescent="0.2">
      <c r="A70" s="266" t="s">
        <v>742</v>
      </c>
      <c r="B70" s="220" t="s">
        <v>792</v>
      </c>
      <c r="C70" s="220" t="s">
        <v>44</v>
      </c>
      <c r="D70" s="210" t="s">
        <v>32</v>
      </c>
      <c r="E70" s="203" t="s">
        <v>700</v>
      </c>
      <c r="F70" s="201" t="s">
        <v>93</v>
      </c>
      <c r="G70" s="204">
        <f>PI()*(0.3^2)*0.25*G69</f>
        <v>0.70685834705770345</v>
      </c>
      <c r="H70" s="212">
        <v>47.06</v>
      </c>
      <c r="I70" s="212">
        <f>ROUND(IF(D70="S",(H70*(1+$I$7)),(H70*(1+$I$8))),2)</f>
        <v>61.2</v>
      </c>
      <c r="J70" s="212">
        <f>ROUND(G70*I70,2)</f>
        <v>43.26</v>
      </c>
    </row>
    <row r="71" spans="1:10" s="159" customFormat="1" x14ac:dyDescent="0.2">
      <c r="A71" s="282" t="s">
        <v>449</v>
      </c>
      <c r="B71" s="276"/>
      <c r="C71" s="276"/>
      <c r="D71" s="276"/>
      <c r="E71" s="277" t="s">
        <v>156</v>
      </c>
      <c r="F71" s="276"/>
      <c r="G71" s="278"/>
      <c r="H71" s="279" t="s">
        <v>38</v>
      </c>
      <c r="I71" s="280"/>
      <c r="J71" s="280">
        <f>SUBTOTAL(9,J72:J75)</f>
        <v>14311.940000000002</v>
      </c>
    </row>
    <row r="72" spans="1:10" s="159" customFormat="1" ht="25.5" x14ac:dyDescent="0.2">
      <c r="A72" s="266" t="s">
        <v>450</v>
      </c>
      <c r="B72" s="220">
        <v>9827</v>
      </c>
      <c r="C72" s="220" t="s">
        <v>1132</v>
      </c>
      <c r="D72" s="210" t="s">
        <v>49</v>
      </c>
      <c r="E72" s="203" t="s">
        <v>166</v>
      </c>
      <c r="F72" s="201" t="s">
        <v>35</v>
      </c>
      <c r="G72" s="204">
        <v>10</v>
      </c>
      <c r="H72" s="212">
        <v>543.41</v>
      </c>
      <c r="I72" s="212">
        <f>ROUND(IF(D72="S",(H72*(1+$I$7)),(H72*(1+$I$8))),2)</f>
        <v>651.54999999999995</v>
      </c>
      <c r="J72" s="212">
        <f>ROUND(G72*I72,2)</f>
        <v>6515.5</v>
      </c>
    </row>
    <row r="73" spans="1:10" s="159" customFormat="1" x14ac:dyDescent="0.2">
      <c r="A73" s="266" t="s">
        <v>451</v>
      </c>
      <c r="B73" s="220" t="s">
        <v>797</v>
      </c>
      <c r="C73" s="220" t="s">
        <v>57</v>
      </c>
      <c r="D73" s="210" t="s">
        <v>49</v>
      </c>
      <c r="E73" s="203" t="s">
        <v>168</v>
      </c>
      <c r="F73" s="201" t="s">
        <v>158</v>
      </c>
      <c r="G73" s="204">
        <v>2</v>
      </c>
      <c r="H73" s="212">
        <v>1420.3</v>
      </c>
      <c r="I73" s="212">
        <f>ROUND(IF(D73="S",(H73*(1+$I$7)),(H73*(1+$I$8))),2)</f>
        <v>1702.94</v>
      </c>
      <c r="J73" s="212">
        <f>ROUND(G73*I73,2)</f>
        <v>3405.88</v>
      </c>
    </row>
    <row r="74" spans="1:10" s="159" customFormat="1" x14ac:dyDescent="0.2">
      <c r="A74" s="266" t="s">
        <v>452</v>
      </c>
      <c r="B74" s="220" t="s">
        <v>798</v>
      </c>
      <c r="C74" s="220" t="s">
        <v>57</v>
      </c>
      <c r="D74" s="210" t="s">
        <v>49</v>
      </c>
      <c r="E74" s="203" t="s">
        <v>167</v>
      </c>
      <c r="F74" s="201" t="s">
        <v>158</v>
      </c>
      <c r="G74" s="204">
        <v>1</v>
      </c>
      <c r="H74" s="212">
        <v>2025.53</v>
      </c>
      <c r="I74" s="212">
        <f>ROUND(IF(D74="S",(H74*(1+$I$7)),(H74*(1+$I$8))),2)</f>
        <v>2428.61</v>
      </c>
      <c r="J74" s="212">
        <f>ROUND(G74*I74,2)</f>
        <v>2428.61</v>
      </c>
    </row>
    <row r="75" spans="1:10" s="159" customFormat="1" x14ac:dyDescent="0.2">
      <c r="A75" s="266" t="s">
        <v>453</v>
      </c>
      <c r="B75" s="220" t="s">
        <v>807</v>
      </c>
      <c r="C75" s="220" t="s">
        <v>57</v>
      </c>
      <c r="D75" s="210" t="s">
        <v>49</v>
      </c>
      <c r="E75" s="203" t="s">
        <v>511</v>
      </c>
      <c r="F75" s="201" t="s">
        <v>158</v>
      </c>
      <c r="G75" s="204">
        <v>1</v>
      </c>
      <c r="H75" s="212">
        <v>1636.32</v>
      </c>
      <c r="I75" s="212">
        <f>ROUND(IF(D75="S",(H75*(1+$I$7)),(H75*(1+$I$8))),2)</f>
        <v>1961.95</v>
      </c>
      <c r="J75" s="212">
        <f>ROUND(G75*I75,2)</f>
        <v>1961.95</v>
      </c>
    </row>
    <row r="76" spans="1:10" s="159" customFormat="1" x14ac:dyDescent="0.2">
      <c r="A76" s="282" t="s">
        <v>454</v>
      </c>
      <c r="B76" s="276"/>
      <c r="C76" s="276"/>
      <c r="D76" s="276"/>
      <c r="E76" s="277" t="s">
        <v>160</v>
      </c>
      <c r="F76" s="276"/>
      <c r="G76" s="278"/>
      <c r="H76" s="279" t="s">
        <v>38</v>
      </c>
      <c r="I76" s="280"/>
      <c r="J76" s="280">
        <f>SUBTOTAL(9,J77:J79)</f>
        <v>689.75</v>
      </c>
    </row>
    <row r="77" spans="1:10" s="159" customFormat="1" ht="51" x14ac:dyDescent="0.2">
      <c r="A77" s="266" t="s">
        <v>456</v>
      </c>
      <c r="B77" s="220">
        <v>97137</v>
      </c>
      <c r="C77" s="220" t="s">
        <v>1132</v>
      </c>
      <c r="D77" s="210" t="s">
        <v>32</v>
      </c>
      <c r="E77" s="203" t="s">
        <v>177</v>
      </c>
      <c r="F77" s="201" t="s">
        <v>35</v>
      </c>
      <c r="G77" s="204">
        <v>10</v>
      </c>
      <c r="H77" s="212">
        <v>5.79</v>
      </c>
      <c r="I77" s="212">
        <f>ROUND(IF(D77="S",(H77*(1+$I$7)),(H77*(1+$I$8))),2)</f>
        <v>7.53</v>
      </c>
      <c r="J77" s="212">
        <f>ROUND(G77*I77,2)</f>
        <v>75.3</v>
      </c>
    </row>
    <row r="78" spans="1:10" s="192" customFormat="1" ht="38.25" x14ac:dyDescent="0.2">
      <c r="A78" s="266" t="s">
        <v>457</v>
      </c>
      <c r="B78" s="220" t="s">
        <v>972</v>
      </c>
      <c r="C78" s="220" t="s">
        <v>44</v>
      </c>
      <c r="D78" s="210" t="s">
        <v>32</v>
      </c>
      <c r="E78" s="203" t="s">
        <v>973</v>
      </c>
      <c r="F78" s="201" t="s">
        <v>45</v>
      </c>
      <c r="G78" s="204">
        <v>3</v>
      </c>
      <c r="H78" s="212">
        <v>140.62</v>
      </c>
      <c r="I78" s="212">
        <f>ROUND(IF(D78="S",(H78*(1+$I$7)),(H78*(1+$I$8))),2)</f>
        <v>182.88</v>
      </c>
      <c r="J78" s="212">
        <f>ROUND(G78*I78,2)</f>
        <v>548.64</v>
      </c>
    </row>
    <row r="79" spans="1:10" s="159" customFormat="1" ht="25.5" x14ac:dyDescent="0.2">
      <c r="A79" s="266" t="s">
        <v>1107</v>
      </c>
      <c r="B79" s="220" t="s">
        <v>974</v>
      </c>
      <c r="C79" s="220" t="s">
        <v>44</v>
      </c>
      <c r="D79" s="210" t="s">
        <v>32</v>
      </c>
      <c r="E79" s="203" t="s">
        <v>975</v>
      </c>
      <c r="F79" s="201" t="s">
        <v>35</v>
      </c>
      <c r="G79" s="204">
        <v>1.6</v>
      </c>
      <c r="H79" s="212">
        <v>31.63</v>
      </c>
      <c r="I79" s="212">
        <f>ROUND(IF(D79="S",(H79*(1+$I$7)),(H79*(1+$I$8))),2)</f>
        <v>41.13</v>
      </c>
      <c r="J79" s="212">
        <f>ROUND(G79*I79,2)</f>
        <v>65.81</v>
      </c>
    </row>
    <row r="80" spans="1:10" s="159" customFormat="1" x14ac:dyDescent="0.2">
      <c r="A80" s="282" t="s">
        <v>455</v>
      </c>
      <c r="B80" s="276"/>
      <c r="C80" s="276"/>
      <c r="D80" s="276"/>
      <c r="E80" s="277" t="s">
        <v>58</v>
      </c>
      <c r="F80" s="276"/>
      <c r="G80" s="278"/>
      <c r="H80" s="279" t="s">
        <v>38</v>
      </c>
      <c r="I80" s="280"/>
      <c r="J80" s="280">
        <f>SUBTOTAL(9,J81:J83)</f>
        <v>957.83999999999992</v>
      </c>
    </row>
    <row r="81" spans="1:10" s="159" customFormat="1" ht="38.25" x14ac:dyDescent="0.2">
      <c r="A81" s="266" t="s">
        <v>458</v>
      </c>
      <c r="B81" s="220">
        <v>92423</v>
      </c>
      <c r="C81" s="220" t="s">
        <v>1132</v>
      </c>
      <c r="D81" s="210" t="s">
        <v>32</v>
      </c>
      <c r="E81" s="203" t="s">
        <v>185</v>
      </c>
      <c r="F81" s="201" t="s">
        <v>92</v>
      </c>
      <c r="G81" s="204">
        <v>2.88</v>
      </c>
      <c r="H81" s="212">
        <v>58.81</v>
      </c>
      <c r="I81" s="212">
        <f>ROUND(IF(D81="S",(H81*(1+$I$7)),(H81*(1+$I$8))),2)</f>
        <v>76.48</v>
      </c>
      <c r="J81" s="212">
        <f>ROUND(G81*I81,2)</f>
        <v>220.26</v>
      </c>
    </row>
    <row r="82" spans="1:10" s="159" customFormat="1" x14ac:dyDescent="0.2">
      <c r="A82" s="266" t="s">
        <v>459</v>
      </c>
      <c r="B82" s="220">
        <v>92882</v>
      </c>
      <c r="C82" s="220" t="s">
        <v>1132</v>
      </c>
      <c r="D82" s="210" t="s">
        <v>32</v>
      </c>
      <c r="E82" s="203" t="s">
        <v>184</v>
      </c>
      <c r="F82" s="201" t="s">
        <v>162</v>
      </c>
      <c r="G82" s="204">
        <v>25.92</v>
      </c>
      <c r="H82" s="212">
        <v>14.29</v>
      </c>
      <c r="I82" s="212">
        <f>ROUND(IF(D82="S",(H82*(1+$I$7)),(H82*(1+$I$8))),2)</f>
        <v>18.579999999999998</v>
      </c>
      <c r="J82" s="212">
        <f>ROUND(G82*I82,2)</f>
        <v>481.59</v>
      </c>
    </row>
    <row r="83" spans="1:10" s="159" customFormat="1" ht="38.25" x14ac:dyDescent="0.2">
      <c r="A83" s="266" t="s">
        <v>460</v>
      </c>
      <c r="B83" s="220">
        <v>94964</v>
      </c>
      <c r="C83" s="220" t="s">
        <v>1132</v>
      </c>
      <c r="D83" s="210" t="s">
        <v>32</v>
      </c>
      <c r="E83" s="203" t="s">
        <v>149</v>
      </c>
      <c r="F83" s="201" t="s">
        <v>93</v>
      </c>
      <c r="G83" s="204">
        <v>0.43</v>
      </c>
      <c r="H83" s="212">
        <v>457.76</v>
      </c>
      <c r="I83" s="212">
        <f>ROUND(IF(D83="S",(H83*(1+$I$7)),(H83*(1+$I$8))),2)</f>
        <v>595.32000000000005</v>
      </c>
      <c r="J83" s="212">
        <f>ROUND(G83*I83,2)</f>
        <v>255.99</v>
      </c>
    </row>
    <row r="84" spans="1:10" s="159" customFormat="1" x14ac:dyDescent="0.2">
      <c r="A84" s="282" t="s">
        <v>461</v>
      </c>
      <c r="B84" s="276"/>
      <c r="C84" s="276"/>
      <c r="D84" s="276"/>
      <c r="E84" s="277" t="s">
        <v>170</v>
      </c>
      <c r="F84" s="276"/>
      <c r="G84" s="278"/>
      <c r="H84" s="279" t="s">
        <v>38</v>
      </c>
      <c r="I84" s="280"/>
      <c r="J84" s="280">
        <f>SUBTOTAL(9,J85:J109)</f>
        <v>23961.25</v>
      </c>
    </row>
    <row r="85" spans="1:10" s="159" customFormat="1" x14ac:dyDescent="0.2">
      <c r="A85" s="282" t="s">
        <v>462</v>
      </c>
      <c r="B85" s="276"/>
      <c r="C85" s="276"/>
      <c r="D85" s="276"/>
      <c r="E85" s="277" t="s">
        <v>91</v>
      </c>
      <c r="F85" s="276"/>
      <c r="G85" s="278"/>
      <c r="H85" s="279" t="s">
        <v>38</v>
      </c>
      <c r="I85" s="280"/>
      <c r="J85" s="280">
        <f>SUBTOTAL(9,J86)</f>
        <v>164.7</v>
      </c>
    </row>
    <row r="86" spans="1:10" s="159" customFormat="1" x14ac:dyDescent="0.2">
      <c r="A86" s="266" t="s">
        <v>463</v>
      </c>
      <c r="B86" s="220">
        <v>99063</v>
      </c>
      <c r="C86" s="220" t="s">
        <v>1132</v>
      </c>
      <c r="D86" s="210" t="s">
        <v>32</v>
      </c>
      <c r="E86" s="203" t="s">
        <v>151</v>
      </c>
      <c r="F86" s="201" t="s">
        <v>35</v>
      </c>
      <c r="G86" s="204">
        <v>30</v>
      </c>
      <c r="H86" s="212">
        <v>4.22</v>
      </c>
      <c r="I86" s="212">
        <f>ROUND(IF(D86="S",(H86*(1+$I$7)),(H86*(1+$I$8))),2)</f>
        <v>5.49</v>
      </c>
      <c r="J86" s="212">
        <f>ROUND(G86*I86,2)</f>
        <v>164.7</v>
      </c>
    </row>
    <row r="87" spans="1:10" s="159" customFormat="1" x14ac:dyDescent="0.2">
      <c r="A87" s="282" t="s">
        <v>464</v>
      </c>
      <c r="B87" s="276"/>
      <c r="C87" s="276"/>
      <c r="D87" s="276"/>
      <c r="E87" s="277" t="s">
        <v>94</v>
      </c>
      <c r="F87" s="276"/>
      <c r="G87" s="278"/>
      <c r="H87" s="279" t="s">
        <v>38</v>
      </c>
      <c r="I87" s="280"/>
      <c r="J87" s="280">
        <f>SUBTOTAL(9,J88:J90)</f>
        <v>1246</v>
      </c>
    </row>
    <row r="88" spans="1:10" s="159" customFormat="1" ht="63.75" x14ac:dyDescent="0.2">
      <c r="A88" s="266" t="s">
        <v>465</v>
      </c>
      <c r="B88" s="220">
        <v>90091</v>
      </c>
      <c r="C88" s="220" t="s">
        <v>1132</v>
      </c>
      <c r="D88" s="210" t="s">
        <v>32</v>
      </c>
      <c r="E88" s="203" t="s">
        <v>152</v>
      </c>
      <c r="F88" s="201" t="s">
        <v>93</v>
      </c>
      <c r="G88" s="204">
        <v>23.63</v>
      </c>
      <c r="H88" s="212">
        <v>5.38</v>
      </c>
      <c r="I88" s="212">
        <f>ROUND(IF(D88="S",(H88*(1+$I$7)),(H88*(1+$I$8))),2)</f>
        <v>7</v>
      </c>
      <c r="J88" s="212">
        <f>ROUND(G88*I88,2)</f>
        <v>165.41</v>
      </c>
    </row>
    <row r="89" spans="1:10" s="159" customFormat="1" ht="25.5" x14ac:dyDescent="0.2">
      <c r="A89" s="266" t="s">
        <v>466</v>
      </c>
      <c r="B89" s="220">
        <v>101618</v>
      </c>
      <c r="C89" s="220" t="s">
        <v>1132</v>
      </c>
      <c r="D89" s="210" t="s">
        <v>32</v>
      </c>
      <c r="E89" s="203" t="s">
        <v>148</v>
      </c>
      <c r="F89" s="201" t="s">
        <v>93</v>
      </c>
      <c r="G89" s="204">
        <v>2.25</v>
      </c>
      <c r="H89" s="212">
        <v>169.93</v>
      </c>
      <c r="I89" s="212">
        <f>ROUND(IF(D89="S",(H89*(1+$I$7)),(H89*(1+$I$8))),2)</f>
        <v>220.99</v>
      </c>
      <c r="J89" s="212">
        <f>ROUND(G89*I89,2)</f>
        <v>497.23</v>
      </c>
    </row>
    <row r="90" spans="1:10" s="159" customFormat="1" ht="63.75" x14ac:dyDescent="0.2">
      <c r="A90" s="266" t="s">
        <v>467</v>
      </c>
      <c r="B90" s="220">
        <v>93378</v>
      </c>
      <c r="C90" s="220" t="s">
        <v>1132</v>
      </c>
      <c r="D90" s="210" t="s">
        <v>32</v>
      </c>
      <c r="E90" s="203" t="s">
        <v>189</v>
      </c>
      <c r="F90" s="201" t="s">
        <v>93</v>
      </c>
      <c r="G90" s="204">
        <v>22.85</v>
      </c>
      <c r="H90" s="212">
        <v>19.63</v>
      </c>
      <c r="I90" s="212">
        <f>ROUND(IF(D90="S",(H90*(1+$I$7)),(H90*(1+$I$8))),2)</f>
        <v>25.53</v>
      </c>
      <c r="J90" s="212">
        <f>ROUND(G90*I90,2)</f>
        <v>583.36</v>
      </c>
    </row>
    <row r="91" spans="1:10" s="159" customFormat="1" x14ac:dyDescent="0.2">
      <c r="A91" s="282" t="s">
        <v>468</v>
      </c>
      <c r="B91" s="276"/>
      <c r="C91" s="276"/>
      <c r="D91" s="276"/>
      <c r="E91" s="277" t="s">
        <v>155</v>
      </c>
      <c r="F91" s="276"/>
      <c r="G91" s="278"/>
      <c r="H91" s="279" t="s">
        <v>38</v>
      </c>
      <c r="I91" s="280"/>
      <c r="J91" s="280">
        <f>SUBTOTAL(9,J92:J95)</f>
        <v>267.27999999999997</v>
      </c>
    </row>
    <row r="92" spans="1:10" s="159" customFormat="1" ht="25.5" x14ac:dyDescent="0.2">
      <c r="A92" s="266" t="s">
        <v>469</v>
      </c>
      <c r="B92" s="305" t="s">
        <v>1138</v>
      </c>
      <c r="C92" s="220" t="s">
        <v>44</v>
      </c>
      <c r="D92" s="210" t="s">
        <v>32</v>
      </c>
      <c r="E92" s="203" t="s">
        <v>153</v>
      </c>
      <c r="F92" s="201" t="s">
        <v>154</v>
      </c>
      <c r="G92" s="204">
        <v>4.84</v>
      </c>
      <c r="H92" s="212">
        <v>10.99</v>
      </c>
      <c r="I92" s="212">
        <f>ROUND(IF(D92="S",(H92*(1+$I$7)),(H92*(1+$I$8))),2)</f>
        <v>14.29</v>
      </c>
      <c r="J92" s="212">
        <f>ROUND(G92*I92,2)</f>
        <v>69.16</v>
      </c>
    </row>
    <row r="93" spans="1:10" s="170" customFormat="1" ht="25.5" x14ac:dyDescent="0.2">
      <c r="A93" s="266" t="s">
        <v>743</v>
      </c>
      <c r="B93" s="220" t="s">
        <v>802</v>
      </c>
      <c r="C93" s="220" t="s">
        <v>44</v>
      </c>
      <c r="D93" s="210" t="s">
        <v>32</v>
      </c>
      <c r="E93" s="203" t="s">
        <v>803</v>
      </c>
      <c r="F93" s="201" t="s">
        <v>35</v>
      </c>
      <c r="G93" s="204">
        <v>30</v>
      </c>
      <c r="H93" s="212">
        <v>2.54</v>
      </c>
      <c r="I93" s="212">
        <f>ROUND(IF(D93="S",(H93*(1+$I$7)),(H93*(1+$I$8))),2)</f>
        <v>3.3</v>
      </c>
      <c r="J93" s="212">
        <f>ROUND(G93*I93,2)</f>
        <v>99</v>
      </c>
    </row>
    <row r="94" spans="1:10" s="170" customFormat="1" x14ac:dyDescent="0.2">
      <c r="A94" s="266" t="s">
        <v>744</v>
      </c>
      <c r="B94" s="220" t="s">
        <v>791</v>
      </c>
      <c r="C94" s="220" t="s">
        <v>44</v>
      </c>
      <c r="D94" s="210" t="s">
        <v>32</v>
      </c>
      <c r="E94" s="203" t="s">
        <v>699</v>
      </c>
      <c r="F94" s="201" t="s">
        <v>35</v>
      </c>
      <c r="G94" s="204">
        <f>G93</f>
        <v>30</v>
      </c>
      <c r="H94" s="212">
        <v>0.23</v>
      </c>
      <c r="I94" s="212">
        <f>ROUND(IF(D94="S",(H94*(1+$I$7)),(H94*(1+$I$8))),2)</f>
        <v>0.3</v>
      </c>
      <c r="J94" s="212">
        <f>ROUND(G94*I94,2)</f>
        <v>9</v>
      </c>
    </row>
    <row r="95" spans="1:10" s="170" customFormat="1" x14ac:dyDescent="0.2">
      <c r="A95" s="266" t="s">
        <v>745</v>
      </c>
      <c r="B95" s="220" t="s">
        <v>792</v>
      </c>
      <c r="C95" s="220" t="s">
        <v>44</v>
      </c>
      <c r="D95" s="210" t="s">
        <v>32</v>
      </c>
      <c r="E95" s="203" t="s">
        <v>700</v>
      </c>
      <c r="F95" s="201" t="s">
        <v>93</v>
      </c>
      <c r="G95" s="204">
        <f>PI()*(0.25^2)*0.25*G94</f>
        <v>1.4726215563702154</v>
      </c>
      <c r="H95" s="212">
        <v>47.06</v>
      </c>
      <c r="I95" s="212">
        <f>ROUND(IF(D95="S",(H95*(1+$I$7)),(H95*(1+$I$8))),2)</f>
        <v>61.2</v>
      </c>
      <c r="J95" s="212">
        <f>ROUND(G95*I95,2)</f>
        <v>90.12</v>
      </c>
    </row>
    <row r="96" spans="1:10" s="159" customFormat="1" x14ac:dyDescent="0.2">
      <c r="A96" s="282" t="s">
        <v>470</v>
      </c>
      <c r="B96" s="276"/>
      <c r="C96" s="276"/>
      <c r="D96" s="276"/>
      <c r="E96" s="277" t="s">
        <v>156</v>
      </c>
      <c r="F96" s="276"/>
      <c r="G96" s="278"/>
      <c r="H96" s="279" t="s">
        <v>38</v>
      </c>
      <c r="I96" s="280"/>
      <c r="J96" s="280">
        <f>SUBTOTAL(9,J97:J101)</f>
        <v>20160.91</v>
      </c>
    </row>
    <row r="97" spans="1:10" s="159" customFormat="1" ht="25.5" x14ac:dyDescent="0.2">
      <c r="A97" s="266" t="s">
        <v>471</v>
      </c>
      <c r="B97" s="220">
        <v>9826</v>
      </c>
      <c r="C97" s="220" t="s">
        <v>1132</v>
      </c>
      <c r="D97" s="210" t="s">
        <v>49</v>
      </c>
      <c r="E97" s="203" t="s">
        <v>171</v>
      </c>
      <c r="F97" s="201" t="s">
        <v>35</v>
      </c>
      <c r="G97" s="204">
        <v>30</v>
      </c>
      <c r="H97" s="212">
        <v>382.68</v>
      </c>
      <c r="I97" s="212">
        <f>ROUND(IF(D97="S",(H97*(1+$I$7)),(H97*(1+$I$8))),2)</f>
        <v>458.83</v>
      </c>
      <c r="J97" s="212">
        <f>ROUND(G97*I97,2)</f>
        <v>13764.9</v>
      </c>
    </row>
    <row r="98" spans="1:10" s="159" customFormat="1" x14ac:dyDescent="0.2">
      <c r="A98" s="266" t="s">
        <v>474</v>
      </c>
      <c r="B98" s="220" t="s">
        <v>799</v>
      </c>
      <c r="C98" s="220" t="s">
        <v>57</v>
      </c>
      <c r="D98" s="210" t="s">
        <v>49</v>
      </c>
      <c r="E98" s="203" t="s">
        <v>172</v>
      </c>
      <c r="F98" s="201" t="s">
        <v>158</v>
      </c>
      <c r="G98" s="204">
        <v>1</v>
      </c>
      <c r="H98" s="212">
        <v>850.86</v>
      </c>
      <c r="I98" s="212">
        <f>ROUND(IF(D98="S",(H98*(1+$I$7)),(H98*(1+$I$8))),2)</f>
        <v>1020.18</v>
      </c>
      <c r="J98" s="212">
        <f>ROUND(G98*I98,2)</f>
        <v>1020.18</v>
      </c>
    </row>
    <row r="99" spans="1:10" s="159" customFormat="1" x14ac:dyDescent="0.2">
      <c r="A99" s="266" t="s">
        <v>475</v>
      </c>
      <c r="B99" s="220" t="s">
        <v>800</v>
      </c>
      <c r="C99" s="220" t="s">
        <v>57</v>
      </c>
      <c r="D99" s="210" t="s">
        <v>49</v>
      </c>
      <c r="E99" s="203" t="s">
        <v>173</v>
      </c>
      <c r="F99" s="201" t="s">
        <v>158</v>
      </c>
      <c r="G99" s="204">
        <v>1</v>
      </c>
      <c r="H99" s="212">
        <v>1777.88</v>
      </c>
      <c r="I99" s="212">
        <f>ROUND(IF(D99="S",(H99*(1+$I$7)),(H99*(1+$I$8))),2)</f>
        <v>2131.6799999999998</v>
      </c>
      <c r="J99" s="212">
        <f>ROUND(G99*I99,2)</f>
        <v>2131.6799999999998</v>
      </c>
    </row>
    <row r="100" spans="1:10" s="159" customFormat="1" x14ac:dyDescent="0.2">
      <c r="A100" s="266" t="s">
        <v>476</v>
      </c>
      <c r="B100" s="220" t="s">
        <v>1047</v>
      </c>
      <c r="C100" s="220" t="s">
        <v>365</v>
      </c>
      <c r="D100" s="210" t="s">
        <v>49</v>
      </c>
      <c r="E100" s="203" t="s">
        <v>174</v>
      </c>
      <c r="F100" s="201" t="s">
        <v>158</v>
      </c>
      <c r="G100" s="204">
        <v>1</v>
      </c>
      <c r="H100" s="212">
        <v>604.72</v>
      </c>
      <c r="I100" s="212">
        <f>ROUND(IF(D100="S",(H100*(1+$I$7)),(H100*(1+$I$8))),2)</f>
        <v>725.06</v>
      </c>
      <c r="J100" s="212">
        <f>ROUND(G100*I100,2)</f>
        <v>725.06</v>
      </c>
    </row>
    <row r="101" spans="1:10" s="159" customFormat="1" x14ac:dyDescent="0.2">
      <c r="A101" s="266" t="s">
        <v>477</v>
      </c>
      <c r="B101" s="220" t="s">
        <v>808</v>
      </c>
      <c r="C101" s="220" t="s">
        <v>57</v>
      </c>
      <c r="D101" s="210" t="s">
        <v>49</v>
      </c>
      <c r="E101" s="203" t="s">
        <v>175</v>
      </c>
      <c r="F101" s="201" t="s">
        <v>158</v>
      </c>
      <c r="G101" s="204">
        <v>1</v>
      </c>
      <c r="H101" s="212">
        <v>2100.9899999999998</v>
      </c>
      <c r="I101" s="212">
        <f>ROUND(IF(D101="S",(H101*(1+$I$7)),(H101*(1+$I$8))),2)</f>
        <v>2519.09</v>
      </c>
      <c r="J101" s="212">
        <f>ROUND(G101*I101,2)</f>
        <v>2519.09</v>
      </c>
    </row>
    <row r="102" spans="1:10" s="159" customFormat="1" x14ac:dyDescent="0.2">
      <c r="A102" s="282" t="s">
        <v>478</v>
      </c>
      <c r="B102" s="276"/>
      <c r="C102" s="276"/>
      <c r="D102" s="276"/>
      <c r="E102" s="277" t="s">
        <v>160</v>
      </c>
      <c r="F102" s="276"/>
      <c r="G102" s="278"/>
      <c r="H102" s="279" t="s">
        <v>38</v>
      </c>
      <c r="I102" s="280"/>
      <c r="J102" s="280">
        <f>SUBTOTAL(9,J103:J105)</f>
        <v>765.97</v>
      </c>
    </row>
    <row r="103" spans="1:10" s="159" customFormat="1" ht="51" x14ac:dyDescent="0.2">
      <c r="A103" s="266" t="s">
        <v>473</v>
      </c>
      <c r="B103" s="220">
        <v>97136</v>
      </c>
      <c r="C103" s="220" t="s">
        <v>1132</v>
      </c>
      <c r="D103" s="210" t="s">
        <v>32</v>
      </c>
      <c r="E103" s="203" t="s">
        <v>176</v>
      </c>
      <c r="F103" s="201" t="s">
        <v>35</v>
      </c>
      <c r="G103" s="204">
        <v>30</v>
      </c>
      <c r="H103" s="212">
        <v>5.79</v>
      </c>
      <c r="I103" s="212">
        <f>ROUND(IF(D103="S",(H103*(1+$I$7)),(H103*(1+$I$8))),2)</f>
        <v>7.53</v>
      </c>
      <c r="J103" s="212">
        <f>ROUND(G103*I103,2)</f>
        <v>225.9</v>
      </c>
    </row>
    <row r="104" spans="1:10" s="159" customFormat="1" ht="38.25" x14ac:dyDescent="0.2">
      <c r="A104" s="266" t="s">
        <v>479</v>
      </c>
      <c r="B104" s="220" t="s">
        <v>977</v>
      </c>
      <c r="C104" s="220" t="s">
        <v>44</v>
      </c>
      <c r="D104" s="210" t="s">
        <v>32</v>
      </c>
      <c r="E104" s="203" t="s">
        <v>976</v>
      </c>
      <c r="F104" s="201" t="s">
        <v>45</v>
      </c>
      <c r="G104" s="204">
        <v>3</v>
      </c>
      <c r="H104" s="212">
        <v>123.73</v>
      </c>
      <c r="I104" s="212">
        <f>ROUND(IF(D104="S",(H104*(1+$I$7)),(H104*(1+$I$8))),2)</f>
        <v>160.91</v>
      </c>
      <c r="J104" s="212">
        <f>ROUND(G104*I104,2)</f>
        <v>482.73</v>
      </c>
    </row>
    <row r="105" spans="1:10" s="159" customFormat="1" ht="25.5" x14ac:dyDescent="0.2">
      <c r="A105" s="266" t="s">
        <v>1108</v>
      </c>
      <c r="B105" s="220" t="s">
        <v>978</v>
      </c>
      <c r="C105" s="220" t="s">
        <v>44</v>
      </c>
      <c r="D105" s="210" t="s">
        <v>32</v>
      </c>
      <c r="E105" s="203" t="s">
        <v>979</v>
      </c>
      <c r="F105" s="201" t="s">
        <v>35</v>
      </c>
      <c r="G105" s="204">
        <v>1.6</v>
      </c>
      <c r="H105" s="212">
        <v>27.56</v>
      </c>
      <c r="I105" s="212">
        <f>ROUND(IF(D105="S",(H105*(1+$I$7)),(H105*(1+$I$8))),2)</f>
        <v>35.840000000000003</v>
      </c>
      <c r="J105" s="212">
        <f>ROUND(G105*I105,2)</f>
        <v>57.34</v>
      </c>
    </row>
    <row r="106" spans="1:10" s="159" customFormat="1" x14ac:dyDescent="0.2">
      <c r="A106" s="282" t="s">
        <v>480</v>
      </c>
      <c r="B106" s="276"/>
      <c r="C106" s="276"/>
      <c r="D106" s="276"/>
      <c r="E106" s="277" t="s">
        <v>58</v>
      </c>
      <c r="F106" s="276"/>
      <c r="G106" s="278"/>
      <c r="H106" s="279" t="s">
        <v>38</v>
      </c>
      <c r="I106" s="280"/>
      <c r="J106" s="280">
        <f>SUBTOTAL(9,J107:J109)</f>
        <v>1356.3899999999999</v>
      </c>
    </row>
    <row r="107" spans="1:10" s="159" customFormat="1" ht="38.25" x14ac:dyDescent="0.2">
      <c r="A107" s="266" t="s">
        <v>472</v>
      </c>
      <c r="B107" s="220">
        <v>92423</v>
      </c>
      <c r="C107" s="220" t="s">
        <v>1132</v>
      </c>
      <c r="D107" s="210" t="s">
        <v>32</v>
      </c>
      <c r="E107" s="203" t="s">
        <v>185</v>
      </c>
      <c r="F107" s="201" t="s">
        <v>92</v>
      </c>
      <c r="G107" s="204">
        <v>4.32</v>
      </c>
      <c r="H107" s="212">
        <v>58.81</v>
      </c>
      <c r="I107" s="212">
        <f>ROUND(IF(D107="S",(H107*(1+$I$7)),(H107*(1+$I$8))),2)</f>
        <v>76.48</v>
      </c>
      <c r="J107" s="212">
        <f>ROUND(G107*I107,2)</f>
        <v>330.39</v>
      </c>
    </row>
    <row r="108" spans="1:10" s="159" customFormat="1" x14ac:dyDescent="0.2">
      <c r="A108" s="266" t="s">
        <v>481</v>
      </c>
      <c r="B108" s="220">
        <v>92882</v>
      </c>
      <c r="C108" s="220" t="s">
        <v>1132</v>
      </c>
      <c r="D108" s="210" t="s">
        <v>32</v>
      </c>
      <c r="E108" s="203" t="s">
        <v>184</v>
      </c>
      <c r="F108" s="201" t="s">
        <v>162</v>
      </c>
      <c r="G108" s="204">
        <v>38.880000000000003</v>
      </c>
      <c r="H108" s="212">
        <v>14.29</v>
      </c>
      <c r="I108" s="212">
        <f>ROUND(IF(D108="S",(H108*(1+$I$7)),(H108*(1+$I$8))),2)</f>
        <v>18.579999999999998</v>
      </c>
      <c r="J108" s="212">
        <f>ROUND(G108*I108,2)</f>
        <v>722.39</v>
      </c>
    </row>
    <row r="109" spans="1:10" s="159" customFormat="1" ht="38.25" x14ac:dyDescent="0.2">
      <c r="A109" s="266" t="s">
        <v>482</v>
      </c>
      <c r="B109" s="220">
        <v>94964</v>
      </c>
      <c r="C109" s="220" t="s">
        <v>1132</v>
      </c>
      <c r="D109" s="210" t="s">
        <v>32</v>
      </c>
      <c r="E109" s="203" t="s">
        <v>149</v>
      </c>
      <c r="F109" s="201" t="s">
        <v>93</v>
      </c>
      <c r="G109" s="204">
        <v>0.51</v>
      </c>
      <c r="H109" s="212">
        <v>457.76</v>
      </c>
      <c r="I109" s="212">
        <f>ROUND(IF(D109="S",(H109*(1+$I$7)),(H109*(1+$I$8))),2)</f>
        <v>595.32000000000005</v>
      </c>
      <c r="J109" s="212">
        <f>ROUND(G109*I109,2)</f>
        <v>303.61</v>
      </c>
    </row>
    <row r="110" spans="1:10" s="159" customFormat="1" x14ac:dyDescent="0.2">
      <c r="A110" s="282" t="s">
        <v>483</v>
      </c>
      <c r="B110" s="276"/>
      <c r="C110" s="276"/>
      <c r="D110" s="276"/>
      <c r="E110" s="277" t="s">
        <v>178</v>
      </c>
      <c r="F110" s="276"/>
      <c r="G110" s="278"/>
      <c r="H110" s="279" t="s">
        <v>38</v>
      </c>
      <c r="I110" s="280"/>
      <c r="J110" s="280">
        <f>SUBTOTAL(9,J111:J140)</f>
        <v>21204.669999999995</v>
      </c>
    </row>
    <row r="111" spans="1:10" s="159" customFormat="1" x14ac:dyDescent="0.2">
      <c r="A111" s="282" t="s">
        <v>484</v>
      </c>
      <c r="B111" s="276"/>
      <c r="C111" s="276"/>
      <c r="D111" s="276"/>
      <c r="E111" s="277" t="s">
        <v>91</v>
      </c>
      <c r="F111" s="276"/>
      <c r="G111" s="278"/>
      <c r="H111" s="279" t="s">
        <v>38</v>
      </c>
      <c r="I111" s="280"/>
      <c r="J111" s="280">
        <f>SUBTOTAL(9,J112)</f>
        <v>188.7</v>
      </c>
    </row>
    <row r="112" spans="1:10" s="159" customFormat="1" x14ac:dyDescent="0.2">
      <c r="A112" s="266" t="s">
        <v>485</v>
      </c>
      <c r="B112" s="220">
        <v>99063</v>
      </c>
      <c r="C112" s="220" t="s">
        <v>1132</v>
      </c>
      <c r="D112" s="210" t="s">
        <v>32</v>
      </c>
      <c r="E112" s="203" t="s">
        <v>151</v>
      </c>
      <c r="F112" s="201" t="s">
        <v>35</v>
      </c>
      <c r="G112" s="204">
        <v>37</v>
      </c>
      <c r="H112" s="212">
        <v>3.92</v>
      </c>
      <c r="I112" s="212">
        <f>ROUND(IF(D112="S",(H112*(1+$I$7)),(H112*(1+$I$8))),2)</f>
        <v>5.0999999999999996</v>
      </c>
      <c r="J112" s="212">
        <f>ROUND(G112*I112,2)</f>
        <v>188.7</v>
      </c>
    </row>
    <row r="113" spans="1:10" s="159" customFormat="1" x14ac:dyDescent="0.2">
      <c r="A113" s="282" t="s">
        <v>486</v>
      </c>
      <c r="B113" s="276"/>
      <c r="C113" s="276"/>
      <c r="D113" s="276"/>
      <c r="E113" s="277" t="s">
        <v>94</v>
      </c>
      <c r="F113" s="276"/>
      <c r="G113" s="278"/>
      <c r="H113" s="279" t="s">
        <v>38</v>
      </c>
      <c r="I113" s="280"/>
      <c r="J113" s="280">
        <f>SUBTOTAL(9,J114:J116)</f>
        <v>1099.49</v>
      </c>
    </row>
    <row r="114" spans="1:10" s="159" customFormat="1" ht="63.75" x14ac:dyDescent="0.2">
      <c r="A114" s="266" t="s">
        <v>487</v>
      </c>
      <c r="B114" s="220">
        <v>90091</v>
      </c>
      <c r="C114" s="220" t="s">
        <v>1132</v>
      </c>
      <c r="D114" s="210" t="s">
        <v>32</v>
      </c>
      <c r="E114" s="203" t="s">
        <v>152</v>
      </c>
      <c r="F114" s="201" t="s">
        <v>93</v>
      </c>
      <c r="G114" s="204">
        <v>22.85</v>
      </c>
      <c r="H114" s="212">
        <v>5.07</v>
      </c>
      <c r="I114" s="212">
        <f>ROUND(IF(D114="S",(H114*(1+$I$7)),(H114*(1+$I$8))),2)</f>
        <v>6.59</v>
      </c>
      <c r="J114" s="212">
        <f>ROUND(G114*I114,2)</f>
        <v>150.58000000000001</v>
      </c>
    </row>
    <row r="115" spans="1:10" s="159" customFormat="1" ht="25.5" x14ac:dyDescent="0.2">
      <c r="A115" s="266" t="s">
        <v>488</v>
      </c>
      <c r="B115" s="220">
        <v>101618</v>
      </c>
      <c r="C115" s="220" t="s">
        <v>1132</v>
      </c>
      <c r="D115" s="210" t="s">
        <v>32</v>
      </c>
      <c r="E115" s="203" t="s">
        <v>148</v>
      </c>
      <c r="F115" s="201" t="s">
        <v>93</v>
      </c>
      <c r="G115" s="204">
        <v>2.41</v>
      </c>
      <c r="H115" s="212">
        <v>153.05000000000001</v>
      </c>
      <c r="I115" s="212">
        <f>ROUND(IF(D115="S",(H115*(1+$I$7)),(H115*(1+$I$8))),2)</f>
        <v>199.04</v>
      </c>
      <c r="J115" s="212">
        <f>ROUND(G115*I115,2)</f>
        <v>479.69</v>
      </c>
    </row>
    <row r="116" spans="1:10" s="159" customFormat="1" ht="63.75" x14ac:dyDescent="0.2">
      <c r="A116" s="266" t="s">
        <v>489</v>
      </c>
      <c r="B116" s="220">
        <v>93378</v>
      </c>
      <c r="C116" s="220" t="s">
        <v>1132</v>
      </c>
      <c r="D116" s="210" t="s">
        <v>32</v>
      </c>
      <c r="E116" s="203" t="s">
        <v>189</v>
      </c>
      <c r="F116" s="201" t="s">
        <v>93</v>
      </c>
      <c r="G116" s="204">
        <v>19.79</v>
      </c>
      <c r="H116" s="212">
        <v>18.23</v>
      </c>
      <c r="I116" s="212">
        <f>ROUND(IF(D116="S",(H116*(1+$I$7)),(H116*(1+$I$8))),2)</f>
        <v>23.71</v>
      </c>
      <c r="J116" s="212">
        <f>ROUND(G116*I116,2)</f>
        <v>469.22</v>
      </c>
    </row>
    <row r="117" spans="1:10" s="159" customFormat="1" x14ac:dyDescent="0.2">
      <c r="A117" s="282" t="s">
        <v>490</v>
      </c>
      <c r="B117" s="276"/>
      <c r="C117" s="276"/>
      <c r="D117" s="276"/>
      <c r="E117" s="277" t="s">
        <v>155</v>
      </c>
      <c r="F117" s="276"/>
      <c r="G117" s="278"/>
      <c r="H117" s="279" t="s">
        <v>38</v>
      </c>
      <c r="I117" s="280"/>
      <c r="J117" s="280">
        <f>SUBTOTAL(9,J118:J121)</f>
        <v>181.62</v>
      </c>
    </row>
    <row r="118" spans="1:10" s="159" customFormat="1" ht="25.5" x14ac:dyDescent="0.2">
      <c r="A118" s="266" t="s">
        <v>491</v>
      </c>
      <c r="B118" s="305" t="s">
        <v>1138</v>
      </c>
      <c r="C118" s="220" t="s">
        <v>44</v>
      </c>
      <c r="D118" s="210" t="s">
        <v>32</v>
      </c>
      <c r="E118" s="203" t="s">
        <v>153</v>
      </c>
      <c r="F118" s="201" t="s">
        <v>154</v>
      </c>
      <c r="G118" s="204">
        <v>3.98</v>
      </c>
      <c r="H118" s="212">
        <v>10.99</v>
      </c>
      <c r="I118" s="212">
        <f>ROUND(IF(D118="S",(H118*(1+$I$7)),(H118*(1+$I$8))),2)</f>
        <v>14.29</v>
      </c>
      <c r="J118" s="212">
        <f>ROUND(G118*I118,2)</f>
        <v>56.87</v>
      </c>
    </row>
    <row r="119" spans="1:10" s="170" customFormat="1" ht="25.5" x14ac:dyDescent="0.2">
      <c r="A119" s="266" t="s">
        <v>717</v>
      </c>
      <c r="B119" s="220" t="s">
        <v>806</v>
      </c>
      <c r="C119" s="220" t="s">
        <v>44</v>
      </c>
      <c r="D119" s="210" t="s">
        <v>32</v>
      </c>
      <c r="E119" s="203" t="s">
        <v>698</v>
      </c>
      <c r="F119" s="201" t="s">
        <v>35</v>
      </c>
      <c r="G119" s="204">
        <v>37</v>
      </c>
      <c r="H119" s="212">
        <v>1.53</v>
      </c>
      <c r="I119" s="212">
        <f>ROUND(IF(D119="S",(H119*(1+$I$7)),(H119*(1+$I$8))),2)</f>
        <v>1.99</v>
      </c>
      <c r="J119" s="212">
        <f>ROUND(G119*I119,2)</f>
        <v>73.63</v>
      </c>
    </row>
    <row r="120" spans="1:10" s="170" customFormat="1" x14ac:dyDescent="0.2">
      <c r="A120" s="266" t="s">
        <v>718</v>
      </c>
      <c r="B120" s="220" t="s">
        <v>791</v>
      </c>
      <c r="C120" s="220" t="s">
        <v>44</v>
      </c>
      <c r="D120" s="210" t="s">
        <v>32</v>
      </c>
      <c r="E120" s="203" t="s">
        <v>699</v>
      </c>
      <c r="F120" s="201" t="s">
        <v>35</v>
      </c>
      <c r="G120" s="204">
        <f>G119</f>
        <v>37</v>
      </c>
      <c r="H120" s="212">
        <v>0.23</v>
      </c>
      <c r="I120" s="212">
        <f>ROUND(IF(D120="S",(H120*(1+$I$7)),(H120*(1+$I$8))),2)</f>
        <v>0.3</v>
      </c>
      <c r="J120" s="212">
        <f>ROUND(G120*I120,2)</f>
        <v>11.1</v>
      </c>
    </row>
    <row r="121" spans="1:10" s="170" customFormat="1" x14ac:dyDescent="0.2">
      <c r="A121" s="266" t="s">
        <v>719</v>
      </c>
      <c r="B121" s="220" t="s">
        <v>792</v>
      </c>
      <c r="C121" s="220" t="s">
        <v>44</v>
      </c>
      <c r="D121" s="210" t="s">
        <v>32</v>
      </c>
      <c r="E121" s="203" t="s">
        <v>700</v>
      </c>
      <c r="F121" s="201" t="s">
        <v>93</v>
      </c>
      <c r="G121" s="204">
        <f>PI()*(0.15^2)*0.25*G120</f>
        <v>0.65384397102837577</v>
      </c>
      <c r="H121" s="212">
        <v>47.06</v>
      </c>
      <c r="I121" s="212">
        <f>ROUND(IF(D121="S",(H121*(1+$I$7)),(H121*(1+$I$8))),2)</f>
        <v>61.2</v>
      </c>
      <c r="J121" s="212">
        <f>ROUND(G121*I121,2)</f>
        <v>40.020000000000003</v>
      </c>
    </row>
    <row r="122" spans="1:10" s="159" customFormat="1" x14ac:dyDescent="0.2">
      <c r="A122" s="282" t="s">
        <v>492</v>
      </c>
      <c r="B122" s="276"/>
      <c r="C122" s="276"/>
      <c r="D122" s="276"/>
      <c r="E122" s="277" t="s">
        <v>156</v>
      </c>
      <c r="F122" s="276"/>
      <c r="G122" s="278"/>
      <c r="H122" s="279" t="s">
        <v>38</v>
      </c>
      <c r="I122" s="280"/>
      <c r="J122" s="280">
        <f>SUBTOTAL(9,J123:J129)</f>
        <v>15228.13</v>
      </c>
    </row>
    <row r="123" spans="1:10" s="159" customFormat="1" ht="25.5" x14ac:dyDescent="0.2">
      <c r="A123" s="266" t="s">
        <v>493</v>
      </c>
      <c r="B123" s="220">
        <v>9828</v>
      </c>
      <c r="C123" s="220" t="s">
        <v>1132</v>
      </c>
      <c r="D123" s="210" t="s">
        <v>49</v>
      </c>
      <c r="E123" s="203" t="s">
        <v>179</v>
      </c>
      <c r="F123" s="201" t="s">
        <v>35</v>
      </c>
      <c r="G123" s="204">
        <v>37</v>
      </c>
      <c r="H123" s="212">
        <v>148.33000000000001</v>
      </c>
      <c r="I123" s="212">
        <f t="shared" ref="I123:I129" si="0">ROUND(IF(D123="S",(H123*(1+$I$7)),(H123*(1+$I$8))),2)</f>
        <v>177.85</v>
      </c>
      <c r="J123" s="212">
        <f t="shared" ref="J123:J129" si="1">ROUND(G123*I123,2)</f>
        <v>6580.45</v>
      </c>
    </row>
    <row r="124" spans="1:10" s="159" customFormat="1" ht="25.5" x14ac:dyDescent="0.2">
      <c r="A124" s="266" t="s">
        <v>494</v>
      </c>
      <c r="B124" s="220" t="s">
        <v>1048</v>
      </c>
      <c r="C124" s="220" t="s">
        <v>365</v>
      </c>
      <c r="D124" s="210" t="s">
        <v>49</v>
      </c>
      <c r="E124" s="203" t="s">
        <v>180</v>
      </c>
      <c r="F124" s="201" t="s">
        <v>158</v>
      </c>
      <c r="G124" s="204">
        <v>1</v>
      </c>
      <c r="H124" s="212">
        <v>1004.84</v>
      </c>
      <c r="I124" s="212">
        <f t="shared" si="0"/>
        <v>1204.8</v>
      </c>
      <c r="J124" s="212">
        <f t="shared" si="1"/>
        <v>1204.8</v>
      </c>
    </row>
    <row r="125" spans="1:10" s="159" customFormat="1" x14ac:dyDescent="0.2">
      <c r="A125" s="266" t="s">
        <v>495</v>
      </c>
      <c r="B125" s="220" t="s">
        <v>809</v>
      </c>
      <c r="C125" s="220" t="s">
        <v>57</v>
      </c>
      <c r="D125" s="210" t="s">
        <v>49</v>
      </c>
      <c r="E125" s="203" t="s">
        <v>729</v>
      </c>
      <c r="F125" s="201" t="s">
        <v>158</v>
      </c>
      <c r="G125" s="204">
        <v>1</v>
      </c>
      <c r="H125" s="212">
        <v>2740.7</v>
      </c>
      <c r="I125" s="212">
        <f t="shared" si="0"/>
        <v>3286.1</v>
      </c>
      <c r="J125" s="212">
        <f t="shared" si="1"/>
        <v>3286.1</v>
      </c>
    </row>
    <row r="126" spans="1:10" s="159" customFormat="1" x14ac:dyDescent="0.2">
      <c r="A126" s="266" t="s">
        <v>496</v>
      </c>
      <c r="B126" s="220" t="s">
        <v>810</v>
      </c>
      <c r="C126" s="220" t="s">
        <v>57</v>
      </c>
      <c r="D126" s="210" t="s">
        <v>49</v>
      </c>
      <c r="E126" s="203" t="s">
        <v>728</v>
      </c>
      <c r="F126" s="201" t="s">
        <v>158</v>
      </c>
      <c r="G126" s="204">
        <v>1</v>
      </c>
      <c r="H126" s="212">
        <v>1418.05</v>
      </c>
      <c r="I126" s="212">
        <f t="shared" si="0"/>
        <v>1700.24</v>
      </c>
      <c r="J126" s="212">
        <f t="shared" si="1"/>
        <v>1700.24</v>
      </c>
    </row>
    <row r="127" spans="1:10" s="159" customFormat="1" x14ac:dyDescent="0.2">
      <c r="A127" s="266" t="s">
        <v>497</v>
      </c>
      <c r="B127" s="220" t="s">
        <v>801</v>
      </c>
      <c r="C127" s="220" t="s">
        <v>57</v>
      </c>
      <c r="D127" s="210" t="s">
        <v>49</v>
      </c>
      <c r="E127" s="203" t="s">
        <v>183</v>
      </c>
      <c r="F127" s="201" t="s">
        <v>158</v>
      </c>
      <c r="G127" s="204">
        <v>2</v>
      </c>
      <c r="H127" s="212">
        <v>376.97</v>
      </c>
      <c r="I127" s="212">
        <f t="shared" si="0"/>
        <v>451.99</v>
      </c>
      <c r="J127" s="212">
        <f t="shared" si="1"/>
        <v>903.98</v>
      </c>
    </row>
    <row r="128" spans="1:10" s="159" customFormat="1" x14ac:dyDescent="0.2">
      <c r="A128" s="266" t="s">
        <v>498</v>
      </c>
      <c r="B128" s="220" t="s">
        <v>1049</v>
      </c>
      <c r="C128" s="220" t="s">
        <v>365</v>
      </c>
      <c r="D128" s="210" t="s">
        <v>49</v>
      </c>
      <c r="E128" s="203" t="s">
        <v>182</v>
      </c>
      <c r="F128" s="201" t="s">
        <v>158</v>
      </c>
      <c r="G128" s="204">
        <v>1</v>
      </c>
      <c r="H128" s="212">
        <v>816.65</v>
      </c>
      <c r="I128" s="212">
        <f t="shared" si="0"/>
        <v>979.16</v>
      </c>
      <c r="J128" s="212">
        <f t="shared" si="1"/>
        <v>979.16</v>
      </c>
    </row>
    <row r="129" spans="1:10" s="159" customFormat="1" x14ac:dyDescent="0.2">
      <c r="A129" s="266" t="s">
        <v>499</v>
      </c>
      <c r="B129" s="220" t="s">
        <v>1050</v>
      </c>
      <c r="C129" s="220" t="s">
        <v>365</v>
      </c>
      <c r="D129" s="210" t="s">
        <v>49</v>
      </c>
      <c r="E129" s="203" t="s">
        <v>181</v>
      </c>
      <c r="F129" s="201" t="s">
        <v>158</v>
      </c>
      <c r="G129" s="204">
        <v>1</v>
      </c>
      <c r="H129" s="212">
        <v>478.23</v>
      </c>
      <c r="I129" s="212">
        <f t="shared" si="0"/>
        <v>573.4</v>
      </c>
      <c r="J129" s="212">
        <f t="shared" si="1"/>
        <v>573.4</v>
      </c>
    </row>
    <row r="130" spans="1:10" s="159" customFormat="1" x14ac:dyDescent="0.2">
      <c r="A130" s="282" t="s">
        <v>500</v>
      </c>
      <c r="B130" s="276"/>
      <c r="C130" s="276"/>
      <c r="D130" s="276"/>
      <c r="E130" s="277" t="s">
        <v>160</v>
      </c>
      <c r="F130" s="276"/>
      <c r="G130" s="278"/>
      <c r="H130" s="279" t="s">
        <v>38</v>
      </c>
      <c r="I130" s="280"/>
      <c r="J130" s="280">
        <f>SUBTOTAL(9,J131:J136)</f>
        <v>780.56999999999994</v>
      </c>
    </row>
    <row r="131" spans="1:10" s="159" customFormat="1" ht="51" x14ac:dyDescent="0.2">
      <c r="A131" s="266" t="s">
        <v>501</v>
      </c>
      <c r="B131" s="220">
        <v>97136</v>
      </c>
      <c r="C131" s="220" t="s">
        <v>1132</v>
      </c>
      <c r="D131" s="210" t="s">
        <v>32</v>
      </c>
      <c r="E131" s="203" t="s">
        <v>176</v>
      </c>
      <c r="F131" s="201" t="s">
        <v>35</v>
      </c>
      <c r="G131" s="204">
        <v>37</v>
      </c>
      <c r="H131" s="212">
        <v>5.79</v>
      </c>
      <c r="I131" s="212">
        <f t="shared" ref="I131:I136" si="2">ROUND(IF(D131="S",(H131*(1+$I$7)),(H131*(1+$I$8))),2)</f>
        <v>7.53</v>
      </c>
      <c r="J131" s="212">
        <f t="shared" ref="J131:J136" si="3">ROUND(G131*I131,2)</f>
        <v>278.61</v>
      </c>
    </row>
    <row r="132" spans="1:10" s="192" customFormat="1" ht="25.5" x14ac:dyDescent="0.2">
      <c r="A132" s="266" t="s">
        <v>502</v>
      </c>
      <c r="B132" s="220" t="s">
        <v>945</v>
      </c>
      <c r="C132" s="220" t="s">
        <v>365</v>
      </c>
      <c r="D132" s="210" t="s">
        <v>32</v>
      </c>
      <c r="E132" s="203" t="s">
        <v>180</v>
      </c>
      <c r="F132" s="201" t="s">
        <v>158</v>
      </c>
      <c r="G132" s="204">
        <v>1</v>
      </c>
      <c r="H132" s="212">
        <v>11.23</v>
      </c>
      <c r="I132" s="212">
        <f t="shared" si="2"/>
        <v>14.6</v>
      </c>
      <c r="J132" s="212">
        <f t="shared" si="3"/>
        <v>14.6</v>
      </c>
    </row>
    <row r="133" spans="1:10" s="192" customFormat="1" ht="25.5" x14ac:dyDescent="0.2">
      <c r="A133" s="266" t="s">
        <v>503</v>
      </c>
      <c r="B133" s="220" t="s">
        <v>980</v>
      </c>
      <c r="C133" s="220" t="s">
        <v>44</v>
      </c>
      <c r="D133" s="210" t="s">
        <v>32</v>
      </c>
      <c r="E133" s="203" t="s">
        <v>981</v>
      </c>
      <c r="F133" s="201" t="s">
        <v>35</v>
      </c>
      <c r="G133" s="204">
        <v>5.0999999999999996</v>
      </c>
      <c r="H133" s="212">
        <v>13.98</v>
      </c>
      <c r="I133" s="212">
        <f t="shared" si="2"/>
        <v>18.18</v>
      </c>
      <c r="J133" s="212">
        <f t="shared" si="3"/>
        <v>92.72</v>
      </c>
    </row>
    <row r="134" spans="1:10" s="192" customFormat="1" ht="38.25" x14ac:dyDescent="0.2">
      <c r="A134" s="266" t="s">
        <v>504</v>
      </c>
      <c r="B134" s="220" t="s">
        <v>982</v>
      </c>
      <c r="C134" s="220" t="s">
        <v>44</v>
      </c>
      <c r="D134" s="210" t="s">
        <v>32</v>
      </c>
      <c r="E134" s="203" t="s">
        <v>983</v>
      </c>
      <c r="F134" s="201" t="s">
        <v>45</v>
      </c>
      <c r="G134" s="204">
        <v>2</v>
      </c>
      <c r="H134" s="212">
        <v>58.17</v>
      </c>
      <c r="I134" s="212">
        <f t="shared" si="2"/>
        <v>75.650000000000006</v>
      </c>
      <c r="J134" s="212">
        <f t="shared" si="3"/>
        <v>151.30000000000001</v>
      </c>
    </row>
    <row r="135" spans="1:10" s="192" customFormat="1" ht="38.25" x14ac:dyDescent="0.2">
      <c r="A135" s="266" t="s">
        <v>505</v>
      </c>
      <c r="B135" s="220" t="s">
        <v>986</v>
      </c>
      <c r="C135" s="220" t="s">
        <v>44</v>
      </c>
      <c r="D135" s="210" t="s">
        <v>32</v>
      </c>
      <c r="E135" s="203" t="s">
        <v>987</v>
      </c>
      <c r="F135" s="201" t="s">
        <v>45</v>
      </c>
      <c r="G135" s="204">
        <v>1</v>
      </c>
      <c r="H135" s="212">
        <v>106.16</v>
      </c>
      <c r="I135" s="212">
        <f t="shared" si="2"/>
        <v>138.06</v>
      </c>
      <c r="J135" s="212">
        <f t="shared" si="3"/>
        <v>138.06</v>
      </c>
    </row>
    <row r="136" spans="1:10" s="192" customFormat="1" ht="38.25" x14ac:dyDescent="0.2">
      <c r="A136" s="266" t="s">
        <v>506</v>
      </c>
      <c r="B136" s="220" t="s">
        <v>984</v>
      </c>
      <c r="C136" s="220" t="s">
        <v>44</v>
      </c>
      <c r="D136" s="210" t="s">
        <v>32</v>
      </c>
      <c r="E136" s="203" t="s">
        <v>985</v>
      </c>
      <c r="F136" s="201" t="s">
        <v>45</v>
      </c>
      <c r="G136" s="204">
        <v>1</v>
      </c>
      <c r="H136" s="212">
        <v>80.95</v>
      </c>
      <c r="I136" s="212">
        <f t="shared" si="2"/>
        <v>105.28</v>
      </c>
      <c r="J136" s="212">
        <f t="shared" si="3"/>
        <v>105.28</v>
      </c>
    </row>
    <row r="137" spans="1:10" s="159" customFormat="1" x14ac:dyDescent="0.2">
      <c r="A137" s="282" t="s">
        <v>507</v>
      </c>
      <c r="B137" s="276"/>
      <c r="C137" s="276"/>
      <c r="D137" s="276"/>
      <c r="E137" s="277" t="s">
        <v>58</v>
      </c>
      <c r="F137" s="276"/>
      <c r="G137" s="278"/>
      <c r="H137" s="279" t="s">
        <v>38</v>
      </c>
      <c r="I137" s="280"/>
      <c r="J137" s="280">
        <f>SUBTOTAL(9,J138:J140)</f>
        <v>3726.16</v>
      </c>
    </row>
    <row r="138" spans="1:10" s="159" customFormat="1" ht="38.25" x14ac:dyDescent="0.2">
      <c r="A138" s="266" t="s">
        <v>508</v>
      </c>
      <c r="B138" s="220">
        <v>92423</v>
      </c>
      <c r="C138" s="220" t="s">
        <v>1132</v>
      </c>
      <c r="D138" s="210" t="s">
        <v>32</v>
      </c>
      <c r="E138" s="203" t="s">
        <v>185</v>
      </c>
      <c r="F138" s="201" t="s">
        <v>92</v>
      </c>
      <c r="G138" s="204">
        <v>4</v>
      </c>
      <c r="H138" s="212">
        <v>58.81</v>
      </c>
      <c r="I138" s="212">
        <f>ROUND(IF(D138="S",(H138*(1+$I$7)),(H138*(1+$I$8))),2)</f>
        <v>76.48</v>
      </c>
      <c r="J138" s="212">
        <f>ROUND(G138*I138,2)</f>
        <v>305.92</v>
      </c>
    </row>
    <row r="139" spans="1:10" s="159" customFormat="1" x14ac:dyDescent="0.2">
      <c r="A139" s="266" t="s">
        <v>509</v>
      </c>
      <c r="B139" s="220">
        <v>92882</v>
      </c>
      <c r="C139" s="220" t="s">
        <v>1132</v>
      </c>
      <c r="D139" s="210" t="s">
        <v>32</v>
      </c>
      <c r="E139" s="203" t="s">
        <v>184</v>
      </c>
      <c r="F139" s="201" t="s">
        <v>162</v>
      </c>
      <c r="G139" s="204">
        <v>120</v>
      </c>
      <c r="H139" s="212">
        <v>14.29</v>
      </c>
      <c r="I139" s="212">
        <f>ROUND(IF(D139="S",(H139*(1+$I$7)),(H139*(1+$I$8))),2)</f>
        <v>18.579999999999998</v>
      </c>
      <c r="J139" s="212">
        <f>ROUND(G139*I139,2)</f>
        <v>2229.6</v>
      </c>
    </row>
    <row r="140" spans="1:10" s="159" customFormat="1" ht="38.25" x14ac:dyDescent="0.2">
      <c r="A140" s="266" t="s">
        <v>510</v>
      </c>
      <c r="B140" s="220">
        <v>94964</v>
      </c>
      <c r="C140" s="220" t="s">
        <v>1132</v>
      </c>
      <c r="D140" s="210" t="s">
        <v>32</v>
      </c>
      <c r="E140" s="203" t="s">
        <v>149</v>
      </c>
      <c r="F140" s="201" t="s">
        <v>93</v>
      </c>
      <c r="G140" s="204">
        <v>2</v>
      </c>
      <c r="H140" s="212">
        <v>457.76</v>
      </c>
      <c r="I140" s="212">
        <f>ROUND(IF(D140="S",(H140*(1+$I$7)),(H140*(1+$I$8))),2)</f>
        <v>595.32000000000005</v>
      </c>
      <c r="J140" s="212">
        <f>ROUND(G140*I140,2)</f>
        <v>1190.6400000000001</v>
      </c>
    </row>
    <row r="141" spans="1:10" x14ac:dyDescent="0.2">
      <c r="A141" s="282" t="s">
        <v>921</v>
      </c>
      <c r="B141" s="276"/>
      <c r="C141" s="276"/>
      <c r="D141" s="276"/>
      <c r="E141" s="277" t="s">
        <v>912</v>
      </c>
      <c r="F141" s="276"/>
      <c r="G141" s="278"/>
      <c r="H141" s="279" t="s">
        <v>38</v>
      </c>
      <c r="I141" s="280"/>
      <c r="J141" s="280">
        <f>SUBTOTAL(9,J142:J150)</f>
        <v>4928.88</v>
      </c>
    </row>
    <row r="142" spans="1:10" x14ac:dyDescent="0.2">
      <c r="A142" s="282" t="s">
        <v>922</v>
      </c>
      <c r="B142" s="276"/>
      <c r="C142" s="276"/>
      <c r="D142" s="276"/>
      <c r="E142" s="277" t="s">
        <v>156</v>
      </c>
      <c r="F142" s="276"/>
      <c r="G142" s="278"/>
      <c r="H142" s="279" t="s">
        <v>38</v>
      </c>
      <c r="I142" s="280"/>
      <c r="J142" s="280">
        <f>SUBTOTAL(9,J143:J150)</f>
        <v>4928.88</v>
      </c>
    </row>
    <row r="143" spans="1:10" x14ac:dyDescent="0.2">
      <c r="A143" s="266" t="s">
        <v>923</v>
      </c>
      <c r="B143" s="220" t="s">
        <v>1082</v>
      </c>
      <c r="C143" s="220" t="s">
        <v>57</v>
      </c>
      <c r="D143" s="210" t="s">
        <v>49</v>
      </c>
      <c r="E143" s="203" t="s">
        <v>913</v>
      </c>
      <c r="F143" s="201" t="s">
        <v>158</v>
      </c>
      <c r="G143" s="204">
        <v>2</v>
      </c>
      <c r="H143" s="212">
        <v>15.709999999999999</v>
      </c>
      <c r="I143" s="212">
        <f t="shared" ref="I143:I150" si="4">ROUND(IF(D143="S",(H143*(1+$I$7)),(H143*(1+$I$8))),2)</f>
        <v>18.84</v>
      </c>
      <c r="J143" s="212">
        <f t="shared" ref="J143:J150" si="5">ROUND(G143*I143,2)</f>
        <v>37.68</v>
      </c>
    </row>
    <row r="144" spans="1:10" x14ac:dyDescent="0.2">
      <c r="A144" s="266" t="s">
        <v>924</v>
      </c>
      <c r="B144" s="220" t="s">
        <v>1082</v>
      </c>
      <c r="C144" s="220" t="s">
        <v>57</v>
      </c>
      <c r="D144" s="210" t="s">
        <v>49</v>
      </c>
      <c r="E144" s="203" t="s">
        <v>914</v>
      </c>
      <c r="F144" s="201" t="s">
        <v>158</v>
      </c>
      <c r="G144" s="204">
        <v>4</v>
      </c>
      <c r="H144" s="212">
        <v>17.100000000000001</v>
      </c>
      <c r="I144" s="212">
        <f t="shared" si="4"/>
        <v>20.5</v>
      </c>
      <c r="J144" s="212">
        <f t="shared" si="5"/>
        <v>82</v>
      </c>
    </row>
    <row r="145" spans="1:10" x14ac:dyDescent="0.2">
      <c r="A145" s="266" t="s">
        <v>925</v>
      </c>
      <c r="B145" s="220" t="s">
        <v>1082</v>
      </c>
      <c r="C145" s="220" t="s">
        <v>57</v>
      </c>
      <c r="D145" s="210" t="s">
        <v>49</v>
      </c>
      <c r="E145" s="203" t="s">
        <v>915</v>
      </c>
      <c r="F145" s="201" t="s">
        <v>158</v>
      </c>
      <c r="G145" s="204">
        <v>2</v>
      </c>
      <c r="H145" s="212">
        <v>19.04</v>
      </c>
      <c r="I145" s="212">
        <f t="shared" si="4"/>
        <v>22.83</v>
      </c>
      <c r="J145" s="212">
        <f t="shared" si="5"/>
        <v>45.66</v>
      </c>
    </row>
    <row r="146" spans="1:10" x14ac:dyDescent="0.2">
      <c r="A146" s="266" t="s">
        <v>926</v>
      </c>
      <c r="B146" s="220" t="s">
        <v>1082</v>
      </c>
      <c r="C146" s="220" t="s">
        <v>57</v>
      </c>
      <c r="D146" s="210" t="s">
        <v>49</v>
      </c>
      <c r="E146" s="203" t="s">
        <v>916</v>
      </c>
      <c r="F146" s="201" t="s">
        <v>158</v>
      </c>
      <c r="G146" s="204">
        <v>2</v>
      </c>
      <c r="H146" s="212">
        <v>20.88</v>
      </c>
      <c r="I146" s="212">
        <f t="shared" si="4"/>
        <v>25.04</v>
      </c>
      <c r="J146" s="212">
        <f t="shared" si="5"/>
        <v>50.08</v>
      </c>
    </row>
    <row r="147" spans="1:10" x14ac:dyDescent="0.2">
      <c r="A147" s="266" t="s">
        <v>927</v>
      </c>
      <c r="B147" s="220" t="s">
        <v>1082</v>
      </c>
      <c r="C147" s="220" t="s">
        <v>57</v>
      </c>
      <c r="D147" s="210" t="s">
        <v>49</v>
      </c>
      <c r="E147" s="203" t="s">
        <v>917</v>
      </c>
      <c r="F147" s="201" t="s">
        <v>158</v>
      </c>
      <c r="G147" s="204">
        <v>2</v>
      </c>
      <c r="H147" s="212">
        <v>25.5</v>
      </c>
      <c r="I147" s="212">
        <f t="shared" si="4"/>
        <v>30.57</v>
      </c>
      <c r="J147" s="212">
        <f t="shared" si="5"/>
        <v>61.14</v>
      </c>
    </row>
    <row r="148" spans="1:10" ht="25.5" x14ac:dyDescent="0.2">
      <c r="A148" s="266" t="s">
        <v>928</v>
      </c>
      <c r="B148" s="220" t="s">
        <v>842</v>
      </c>
      <c r="C148" s="220" t="s">
        <v>57</v>
      </c>
      <c r="D148" s="210" t="s">
        <v>49</v>
      </c>
      <c r="E148" s="203" t="s">
        <v>920</v>
      </c>
      <c r="F148" s="201" t="s">
        <v>158</v>
      </c>
      <c r="G148" s="204">
        <v>16</v>
      </c>
      <c r="H148" s="212">
        <v>19.75</v>
      </c>
      <c r="I148" s="212">
        <f t="shared" si="4"/>
        <v>23.68</v>
      </c>
      <c r="J148" s="212">
        <f t="shared" si="5"/>
        <v>378.88</v>
      </c>
    </row>
    <row r="149" spans="1:10" ht="25.5" x14ac:dyDescent="0.2">
      <c r="A149" s="266" t="s">
        <v>929</v>
      </c>
      <c r="B149" s="220" t="s">
        <v>843</v>
      </c>
      <c r="C149" s="220" t="s">
        <v>57</v>
      </c>
      <c r="D149" s="210" t="s">
        <v>49</v>
      </c>
      <c r="E149" s="203" t="s">
        <v>919</v>
      </c>
      <c r="F149" s="201" t="s">
        <v>158</v>
      </c>
      <c r="G149" s="204">
        <v>72</v>
      </c>
      <c r="H149" s="212">
        <v>36.5</v>
      </c>
      <c r="I149" s="212">
        <f t="shared" si="4"/>
        <v>43.76</v>
      </c>
      <c r="J149" s="212">
        <f t="shared" si="5"/>
        <v>3150.72</v>
      </c>
    </row>
    <row r="150" spans="1:10" ht="25.5" x14ac:dyDescent="0.2">
      <c r="A150" s="267" t="s">
        <v>930</v>
      </c>
      <c r="B150" s="221" t="s">
        <v>843</v>
      </c>
      <c r="C150" s="221" t="s">
        <v>57</v>
      </c>
      <c r="D150" s="214" t="s">
        <v>49</v>
      </c>
      <c r="E150" s="207" t="s">
        <v>918</v>
      </c>
      <c r="F150" s="205" t="s">
        <v>158</v>
      </c>
      <c r="G150" s="208">
        <v>24</v>
      </c>
      <c r="H150" s="216">
        <v>39.020000000000003</v>
      </c>
      <c r="I150" s="216">
        <f t="shared" si="4"/>
        <v>46.78</v>
      </c>
      <c r="J150" s="216">
        <f t="shared" si="5"/>
        <v>1122.72</v>
      </c>
    </row>
    <row r="185" spans="5:5" x14ac:dyDescent="0.2">
      <c r="E185">
        <f>505.7/50</f>
        <v>10.113999999999999</v>
      </c>
    </row>
    <row r="186" spans="5:5" x14ac:dyDescent="0.2">
      <c r="E186">
        <f>ROUND(E185,2)</f>
        <v>10.11</v>
      </c>
    </row>
  </sheetData>
  <mergeCells count="10">
    <mergeCell ref="F7:H7"/>
    <mergeCell ref="F6:H6"/>
    <mergeCell ref="A5:J5"/>
    <mergeCell ref="A6:E8"/>
    <mergeCell ref="F8:H8"/>
    <mergeCell ref="B1:E1"/>
    <mergeCell ref="F1:J4"/>
    <mergeCell ref="B4:E4"/>
    <mergeCell ref="B2:E2"/>
    <mergeCell ref="B3:E3"/>
  </mergeCells>
  <phoneticPr fontId="11" type="noConversion"/>
  <printOptions horizontalCentered="1"/>
  <pageMargins left="0.70866141732283472" right="0.70866141732283472" top="0.74803149606299213" bottom="0.74803149606299213" header="0" footer="0"/>
  <pageSetup scale="55" orientation="landscape" r:id="rId1"/>
  <headerFooter>
    <oddFooter>&amp;CPágina &amp;P de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42"/>
  <sheetViews>
    <sheetView view="pageBreakPreview" zoomScale="85" zoomScaleNormal="70" zoomScaleSheetLayoutView="85" workbookViewId="0">
      <selection activeCell="F25" sqref="F25"/>
    </sheetView>
  </sheetViews>
  <sheetFormatPr defaultColWidth="12.5703125" defaultRowHeight="15" customHeight="1" x14ac:dyDescent="0.2"/>
  <cols>
    <col min="1" max="1" width="16.7109375" style="260" customWidth="1"/>
    <col min="2" max="3" width="16.7109375" style="218" customWidth="1"/>
    <col min="4" max="4" width="5.7109375" customWidth="1"/>
    <col min="5" max="5" width="70.7109375" customWidth="1"/>
    <col min="6" max="6" width="10.7109375" customWidth="1"/>
    <col min="7" max="10" width="17.7109375" style="230" customWidth="1"/>
    <col min="11" max="11" width="16.42578125" customWidth="1"/>
    <col min="12" max="12" width="12.7109375" customWidth="1"/>
    <col min="13" max="13" width="13.7109375" customWidth="1"/>
    <col min="14" max="16" width="11.42578125" customWidth="1"/>
  </cols>
  <sheetData>
    <row r="1" spans="1:16" ht="18.399999999999999" customHeight="1" x14ac:dyDescent="0.2">
      <c r="A1" s="256" t="s">
        <v>0</v>
      </c>
      <c r="B1" s="222"/>
      <c r="C1" s="331" t="s">
        <v>1</v>
      </c>
      <c r="D1" s="312"/>
      <c r="E1" s="313"/>
      <c r="F1" s="322" t="s">
        <v>2</v>
      </c>
      <c r="G1" s="342"/>
      <c r="H1" s="342"/>
      <c r="I1" s="342"/>
      <c r="J1" s="343"/>
      <c r="K1" s="45"/>
      <c r="L1" s="60"/>
      <c r="M1" s="11"/>
      <c r="N1" s="11"/>
      <c r="O1" s="11"/>
      <c r="P1" s="11"/>
    </row>
    <row r="2" spans="1:16" ht="18.399999999999999" customHeight="1" x14ac:dyDescent="0.2">
      <c r="A2" s="256" t="s">
        <v>3</v>
      </c>
      <c r="B2" s="222"/>
      <c r="C2" s="331" t="s">
        <v>4</v>
      </c>
      <c r="D2" s="312"/>
      <c r="E2" s="313"/>
      <c r="F2" s="344"/>
      <c r="G2" s="345"/>
      <c r="H2" s="345"/>
      <c r="I2" s="345"/>
      <c r="J2" s="346"/>
      <c r="K2" s="61"/>
      <c r="L2" s="62"/>
      <c r="M2" s="63"/>
      <c r="N2" s="63"/>
      <c r="O2" s="63"/>
      <c r="P2" s="63"/>
    </row>
    <row r="3" spans="1:16" ht="18.399999999999999" customHeight="1" x14ac:dyDescent="0.2">
      <c r="A3" s="256" t="s">
        <v>5</v>
      </c>
      <c r="B3" s="222"/>
      <c r="C3" s="328" t="s">
        <v>6</v>
      </c>
      <c r="D3" s="312"/>
      <c r="E3" s="313"/>
      <c r="F3" s="344"/>
      <c r="G3" s="345"/>
      <c r="H3" s="345"/>
      <c r="I3" s="345"/>
      <c r="J3" s="346"/>
      <c r="K3" s="64"/>
      <c r="L3" s="60"/>
      <c r="M3" s="65"/>
      <c r="N3" s="65"/>
      <c r="O3" s="65"/>
      <c r="P3" s="65"/>
    </row>
    <row r="4" spans="1:16" ht="18.399999999999999" customHeight="1" x14ac:dyDescent="0.2">
      <c r="A4" s="257" t="s">
        <v>7</v>
      </c>
      <c r="B4" s="223"/>
      <c r="C4" s="321"/>
      <c r="D4" s="312"/>
      <c r="E4" s="313"/>
      <c r="F4" s="347"/>
      <c r="G4" s="348"/>
      <c r="H4" s="348"/>
      <c r="I4" s="348"/>
      <c r="J4" s="349"/>
      <c r="K4" s="64"/>
      <c r="L4" s="60"/>
      <c r="M4" s="65"/>
      <c r="N4" s="65"/>
      <c r="O4" s="65"/>
      <c r="P4" s="65"/>
    </row>
    <row r="5" spans="1:16" ht="18.399999999999999" customHeight="1" x14ac:dyDescent="0.2">
      <c r="A5" s="350" t="s">
        <v>8</v>
      </c>
      <c r="B5" s="369"/>
      <c r="C5" s="312"/>
      <c r="D5" s="312"/>
      <c r="E5" s="312"/>
      <c r="F5" s="312"/>
      <c r="G5" s="312"/>
      <c r="H5" s="312"/>
      <c r="I5" s="312"/>
      <c r="J5" s="313"/>
      <c r="K5" s="64"/>
      <c r="L5" s="60"/>
      <c r="M5" s="65"/>
      <c r="N5" s="65"/>
      <c r="O5" s="65"/>
      <c r="P5" s="65"/>
    </row>
    <row r="6" spans="1:16" ht="18.399999999999999" customHeight="1" x14ac:dyDescent="0.2">
      <c r="A6" s="330" t="s">
        <v>755</v>
      </c>
      <c r="B6" s="370"/>
      <c r="C6" s="340"/>
      <c r="D6" s="340"/>
      <c r="E6" s="323"/>
      <c r="F6" s="359" t="s">
        <v>9</v>
      </c>
      <c r="G6" s="312"/>
      <c r="H6" s="313"/>
      <c r="I6" s="227" t="s">
        <v>1140</v>
      </c>
      <c r="J6" s="237"/>
      <c r="K6" s="64"/>
      <c r="L6" s="60"/>
      <c r="M6" s="65"/>
      <c r="N6" s="65"/>
      <c r="O6" s="65"/>
      <c r="P6" s="65"/>
    </row>
    <row r="7" spans="1:16" ht="18.399999999999999" customHeight="1" x14ac:dyDescent="0.2">
      <c r="A7" s="324"/>
      <c r="B7" s="319"/>
      <c r="C7" s="316"/>
      <c r="D7" s="316"/>
      <c r="E7" s="325"/>
      <c r="F7" s="359" t="s">
        <v>10</v>
      </c>
      <c r="G7" s="312"/>
      <c r="H7" s="313"/>
      <c r="I7" s="255">
        <f>BDI!C20</f>
        <v>0.30049999999999999</v>
      </c>
      <c r="J7" s="238"/>
      <c r="K7" s="66"/>
      <c r="L7" s="60"/>
      <c r="M7" s="65"/>
      <c r="N7" s="65"/>
      <c r="O7" s="65"/>
      <c r="P7" s="65"/>
    </row>
    <row r="8" spans="1:16" ht="18.399999999999999" customHeight="1" x14ac:dyDescent="0.2">
      <c r="A8" s="326"/>
      <c r="B8" s="341"/>
      <c r="C8" s="341"/>
      <c r="D8" s="341"/>
      <c r="E8" s="327"/>
      <c r="F8" s="357" t="s">
        <v>11</v>
      </c>
      <c r="G8" s="312"/>
      <c r="H8" s="313"/>
      <c r="I8" s="253">
        <f>BDI!G20</f>
        <v>0.19900000000000001</v>
      </c>
      <c r="J8" s="234"/>
      <c r="K8" s="66"/>
      <c r="L8" s="60"/>
      <c r="M8" s="65"/>
      <c r="N8" s="65"/>
      <c r="O8" s="65"/>
      <c r="P8" s="65"/>
    </row>
    <row r="9" spans="1:16" ht="47.25" customHeight="1" x14ac:dyDescent="0.2">
      <c r="A9" s="269" t="s">
        <v>12</v>
      </c>
      <c r="B9" s="249"/>
      <c r="C9" s="249" t="s">
        <v>39</v>
      </c>
      <c r="D9" s="249" t="s">
        <v>24</v>
      </c>
      <c r="E9" s="250" t="s">
        <v>25</v>
      </c>
      <c r="F9" s="249" t="s">
        <v>26</v>
      </c>
      <c r="G9" s="251" t="s">
        <v>27</v>
      </c>
      <c r="H9" s="252" t="s">
        <v>40</v>
      </c>
      <c r="I9" s="252" t="s">
        <v>29</v>
      </c>
      <c r="J9" s="252" t="s">
        <v>30</v>
      </c>
      <c r="K9" s="66"/>
      <c r="L9" s="60"/>
      <c r="M9" s="65"/>
      <c r="N9" s="65"/>
      <c r="O9" s="65"/>
      <c r="P9" s="65"/>
    </row>
    <row r="10" spans="1:16" s="161" customFormat="1" x14ac:dyDescent="0.2">
      <c r="A10" s="281">
        <v>5</v>
      </c>
      <c r="B10" s="271"/>
      <c r="C10" s="271"/>
      <c r="D10" s="271"/>
      <c r="E10" s="272" t="s">
        <v>192</v>
      </c>
      <c r="F10" s="271"/>
      <c r="G10" s="273"/>
      <c r="H10" s="274"/>
      <c r="I10" s="275"/>
      <c r="J10" s="275">
        <f>SUBTOTAL(9,J11:J30)</f>
        <v>1944715.2199999997</v>
      </c>
      <c r="K10" s="66"/>
      <c r="L10" s="60"/>
      <c r="M10" s="65"/>
      <c r="N10" s="65"/>
      <c r="O10" s="65"/>
      <c r="P10" s="65"/>
    </row>
    <row r="11" spans="1:16" s="161" customFormat="1" ht="12.75" x14ac:dyDescent="0.2">
      <c r="A11" s="282" t="s">
        <v>59</v>
      </c>
      <c r="B11" s="276"/>
      <c r="C11" s="276"/>
      <c r="D11" s="276"/>
      <c r="E11" s="277" t="s">
        <v>91</v>
      </c>
      <c r="F11" s="276"/>
      <c r="G11" s="278"/>
      <c r="H11" s="279"/>
      <c r="I11" s="280"/>
      <c r="J11" s="280">
        <f>SUBTOTAL(9,J12)</f>
        <v>2247.84</v>
      </c>
      <c r="K11" s="66"/>
      <c r="L11" s="60"/>
      <c r="M11" s="65"/>
      <c r="N11" s="65"/>
      <c r="O11" s="65"/>
      <c r="P11" s="65"/>
    </row>
    <row r="12" spans="1:16" s="161" customFormat="1" ht="25.5" x14ac:dyDescent="0.2">
      <c r="A12" s="266" t="s">
        <v>60</v>
      </c>
      <c r="B12" s="220">
        <v>99059</v>
      </c>
      <c r="C12" s="220" t="s">
        <v>1132</v>
      </c>
      <c r="D12" s="210" t="s">
        <v>32</v>
      </c>
      <c r="E12" s="211" t="s">
        <v>150</v>
      </c>
      <c r="F12" s="209" t="s">
        <v>35</v>
      </c>
      <c r="G12" s="235">
        <v>36</v>
      </c>
      <c r="H12" s="212">
        <v>48.01</v>
      </c>
      <c r="I12" s="212">
        <f>ROUND(IF(D12="S",(H12*(1+$I$7)),(H12*(1+$I$8))),2)</f>
        <v>62.44</v>
      </c>
      <c r="J12" s="212">
        <f>ROUND(G12*I12,2)</f>
        <v>2247.84</v>
      </c>
      <c r="K12" s="66"/>
      <c r="L12" s="60"/>
      <c r="M12" s="65"/>
      <c r="N12" s="65"/>
      <c r="O12" s="65"/>
      <c r="P12" s="65"/>
    </row>
    <row r="13" spans="1:16" s="161" customFormat="1" ht="12.75" x14ac:dyDescent="0.2">
      <c r="A13" s="282" t="s">
        <v>61</v>
      </c>
      <c r="B13" s="276"/>
      <c r="C13" s="276"/>
      <c r="D13" s="276"/>
      <c r="E13" s="277" t="s">
        <v>94</v>
      </c>
      <c r="F13" s="276"/>
      <c r="G13" s="278"/>
      <c r="H13" s="279">
        <v>0</v>
      </c>
      <c r="I13" s="280"/>
      <c r="J13" s="280">
        <f>SUBTOTAL(9,J14:J17)</f>
        <v>5671.1</v>
      </c>
      <c r="K13" s="66"/>
      <c r="L13" s="60"/>
      <c r="M13" s="65"/>
      <c r="N13" s="65"/>
      <c r="O13" s="65"/>
      <c r="P13" s="65"/>
    </row>
    <row r="14" spans="1:16" s="161" customFormat="1" ht="63.75" x14ac:dyDescent="0.2">
      <c r="A14" s="266" t="s">
        <v>63</v>
      </c>
      <c r="B14" s="220">
        <v>90091</v>
      </c>
      <c r="C14" s="220" t="s">
        <v>1132</v>
      </c>
      <c r="D14" s="210" t="s">
        <v>32</v>
      </c>
      <c r="E14" s="211" t="s">
        <v>152</v>
      </c>
      <c r="F14" s="209" t="s">
        <v>93</v>
      </c>
      <c r="G14" s="235">
        <v>6.48</v>
      </c>
      <c r="H14" s="212">
        <v>5.38</v>
      </c>
      <c r="I14" s="212">
        <f>ROUND(IF(D14="S",(H14*(1+$I$7)),(H14*(1+$I$8))),2)</f>
        <v>7</v>
      </c>
      <c r="J14" s="212">
        <f>ROUND(G14*I14,2)</f>
        <v>45.36</v>
      </c>
      <c r="K14" s="66"/>
      <c r="L14" s="60"/>
      <c r="M14" s="65"/>
      <c r="N14" s="65"/>
      <c r="O14" s="65"/>
      <c r="P14" s="65"/>
    </row>
    <row r="15" spans="1:16" s="161" customFormat="1" ht="25.5" x14ac:dyDescent="0.2">
      <c r="A15" s="266" t="s">
        <v>64</v>
      </c>
      <c r="B15" s="220">
        <v>93358</v>
      </c>
      <c r="C15" s="220" t="s">
        <v>1132</v>
      </c>
      <c r="D15" s="210" t="s">
        <v>32</v>
      </c>
      <c r="E15" s="211" t="s">
        <v>187</v>
      </c>
      <c r="F15" s="209" t="s">
        <v>93</v>
      </c>
      <c r="G15" s="235">
        <v>34.090000000000003</v>
      </c>
      <c r="H15" s="212">
        <v>67.599999999999994</v>
      </c>
      <c r="I15" s="212">
        <f>ROUND(IF(D15="S",(H15*(1+$I$7)),(H15*(1+$I$8))),2)</f>
        <v>87.91</v>
      </c>
      <c r="J15" s="212">
        <f>ROUND(G15*I15,2)</f>
        <v>2996.85</v>
      </c>
      <c r="K15" s="66"/>
      <c r="L15" s="60"/>
      <c r="M15" s="65"/>
      <c r="N15" s="65"/>
      <c r="O15" s="65"/>
      <c r="P15" s="65"/>
    </row>
    <row r="16" spans="1:16" s="161" customFormat="1" ht="38.25" x14ac:dyDescent="0.2">
      <c r="A16" s="266" t="s">
        <v>65</v>
      </c>
      <c r="B16" s="220">
        <v>96385</v>
      </c>
      <c r="C16" s="220" t="s">
        <v>1132</v>
      </c>
      <c r="D16" s="210" t="s">
        <v>32</v>
      </c>
      <c r="E16" s="211" t="s">
        <v>190</v>
      </c>
      <c r="F16" s="209" t="s">
        <v>93</v>
      </c>
      <c r="G16" s="235">
        <v>83.2</v>
      </c>
      <c r="H16" s="212">
        <v>8.9700000000000006</v>
      </c>
      <c r="I16" s="212">
        <f>ROUND(IF(D16="S",(H16*(1+$I$7)),(H16*(1+$I$8))),2)</f>
        <v>11.67</v>
      </c>
      <c r="J16" s="212">
        <f>ROUND(G16*I16,2)</f>
        <v>970.94</v>
      </c>
      <c r="K16" s="66"/>
      <c r="L16" s="60"/>
      <c r="M16" s="65"/>
      <c r="N16" s="65"/>
      <c r="O16" s="65"/>
      <c r="P16" s="65"/>
    </row>
    <row r="17" spans="1:16" s="161" customFormat="1" ht="25.5" x14ac:dyDescent="0.2">
      <c r="A17" s="266" t="s">
        <v>199</v>
      </c>
      <c r="B17" s="220">
        <v>94342</v>
      </c>
      <c r="C17" s="220" t="s">
        <v>1132</v>
      </c>
      <c r="D17" s="210" t="s">
        <v>32</v>
      </c>
      <c r="E17" s="211" t="s">
        <v>188</v>
      </c>
      <c r="F17" s="209" t="s">
        <v>93</v>
      </c>
      <c r="G17" s="235">
        <v>15.43</v>
      </c>
      <c r="H17" s="212">
        <v>82.62</v>
      </c>
      <c r="I17" s="212">
        <f>ROUND(IF(D17="S",(H17*(1+$I$7)),(H17*(1+$I$8))),2)</f>
        <v>107.45</v>
      </c>
      <c r="J17" s="212">
        <f>ROUND(G17*I17,2)</f>
        <v>1657.95</v>
      </c>
      <c r="K17" s="66"/>
      <c r="L17" s="60"/>
      <c r="M17" s="65"/>
      <c r="N17" s="65"/>
      <c r="O17" s="65"/>
      <c r="P17" s="65"/>
    </row>
    <row r="18" spans="1:16" s="161" customFormat="1" ht="12.75" x14ac:dyDescent="0.2">
      <c r="A18" s="282" t="s">
        <v>200</v>
      </c>
      <c r="B18" s="276"/>
      <c r="C18" s="276"/>
      <c r="D18" s="276"/>
      <c r="E18" s="277" t="s">
        <v>155</v>
      </c>
      <c r="F18" s="276"/>
      <c r="G18" s="278"/>
      <c r="H18" s="279">
        <v>0</v>
      </c>
      <c r="I18" s="280"/>
      <c r="J18" s="280">
        <f>SUBTOTAL(9,J19:J20)</f>
        <v>1083.72</v>
      </c>
      <c r="K18" s="66"/>
      <c r="L18" s="60"/>
      <c r="M18" s="65"/>
      <c r="N18" s="65"/>
      <c r="O18" s="65"/>
      <c r="P18" s="65"/>
    </row>
    <row r="19" spans="1:16" s="161" customFormat="1" ht="38.25" x14ac:dyDescent="0.2">
      <c r="A19" s="266" t="s">
        <v>201</v>
      </c>
      <c r="B19" s="220">
        <v>100973</v>
      </c>
      <c r="C19" s="220" t="s">
        <v>1132</v>
      </c>
      <c r="D19" s="210" t="s">
        <v>32</v>
      </c>
      <c r="E19" s="211" t="s">
        <v>191</v>
      </c>
      <c r="F19" s="209" t="s">
        <v>93</v>
      </c>
      <c r="G19" s="235">
        <v>83.2</v>
      </c>
      <c r="H19" s="212">
        <v>7.37</v>
      </c>
      <c r="I19" s="212">
        <f>ROUND(IF(D19="S",(H19*(1+$I$7)),(H19*(1+$I$8))),2)</f>
        <v>9.58</v>
      </c>
      <c r="J19" s="212">
        <f>ROUND(G19*I19,2)</f>
        <v>797.06</v>
      </c>
      <c r="K19" s="66"/>
      <c r="L19" s="60"/>
      <c r="M19" s="65"/>
      <c r="N19" s="65"/>
      <c r="O19" s="65"/>
      <c r="P19" s="65"/>
    </row>
    <row r="20" spans="1:16" s="161" customFormat="1" ht="25.5" x14ac:dyDescent="0.2">
      <c r="A20" s="266" t="s">
        <v>202</v>
      </c>
      <c r="B20" s="305" t="s">
        <v>1138</v>
      </c>
      <c r="C20" s="220" t="s">
        <v>44</v>
      </c>
      <c r="D20" s="210" t="s">
        <v>32</v>
      </c>
      <c r="E20" s="211" t="s">
        <v>153</v>
      </c>
      <c r="F20" s="209" t="s">
        <v>154</v>
      </c>
      <c r="G20" s="235">
        <v>20.059999999999999</v>
      </c>
      <c r="H20" s="212">
        <v>10.99</v>
      </c>
      <c r="I20" s="212">
        <f>ROUND(IF(D20="S",(H20*(1+$I$7)),(H20*(1+$I$8))),2)</f>
        <v>14.29</v>
      </c>
      <c r="J20" s="212">
        <f>ROUND(G20*I20,2)</f>
        <v>286.66000000000003</v>
      </c>
      <c r="K20" s="66"/>
      <c r="L20" s="60"/>
      <c r="M20" s="65"/>
      <c r="N20" s="65"/>
      <c r="O20" s="65"/>
      <c r="P20" s="65"/>
    </row>
    <row r="21" spans="1:16" s="161" customFormat="1" ht="12.75" x14ac:dyDescent="0.2">
      <c r="A21" s="282" t="s">
        <v>203</v>
      </c>
      <c r="B21" s="276"/>
      <c r="C21" s="276"/>
      <c r="D21" s="276"/>
      <c r="E21" s="277" t="s">
        <v>725</v>
      </c>
      <c r="F21" s="276"/>
      <c r="G21" s="278"/>
      <c r="H21" s="279">
        <v>0</v>
      </c>
      <c r="I21" s="280"/>
      <c r="J21" s="280">
        <f>SUBTOTAL(9,J22:J22)</f>
        <v>1881231</v>
      </c>
      <c r="K21" s="66"/>
      <c r="L21" s="60"/>
      <c r="M21" s="65"/>
      <c r="N21" s="65"/>
      <c r="O21" s="65"/>
      <c r="P21" s="65"/>
    </row>
    <row r="22" spans="1:16" ht="178.5" x14ac:dyDescent="0.2">
      <c r="A22" s="266" t="s">
        <v>204</v>
      </c>
      <c r="B22" s="220" t="s">
        <v>57</v>
      </c>
      <c r="C22" s="220" t="s">
        <v>724</v>
      </c>
      <c r="D22" s="210" t="s">
        <v>49</v>
      </c>
      <c r="E22" s="211" t="s">
        <v>723</v>
      </c>
      <c r="F22" s="209" t="s">
        <v>726</v>
      </c>
      <c r="G22" s="235">
        <v>1</v>
      </c>
      <c r="H22" s="212">
        <v>1569000</v>
      </c>
      <c r="I22" s="212">
        <f>ROUND(IF(D22="S",(H22*(1+$I$7)),(H22*(1+$I$8))),2)</f>
        <v>1881231</v>
      </c>
      <c r="J22" s="212">
        <f>ROUND(G22*I22,2)</f>
        <v>1881231</v>
      </c>
      <c r="K22" s="67"/>
      <c r="L22" s="60"/>
      <c r="M22" s="65"/>
      <c r="N22" s="65"/>
      <c r="O22" s="65"/>
      <c r="P22" s="65"/>
    </row>
    <row r="23" spans="1:16" s="161" customFormat="1" ht="12.75" x14ac:dyDescent="0.2">
      <c r="A23" s="282" t="s">
        <v>746</v>
      </c>
      <c r="B23" s="276"/>
      <c r="C23" s="276"/>
      <c r="D23" s="276"/>
      <c r="E23" s="277" t="s">
        <v>186</v>
      </c>
      <c r="F23" s="276"/>
      <c r="G23" s="278"/>
      <c r="H23" s="279">
        <v>0</v>
      </c>
      <c r="I23" s="280"/>
      <c r="J23" s="280">
        <f>SUBTOTAL(9,J24:J28)</f>
        <v>53494.909999999996</v>
      </c>
      <c r="K23" s="68"/>
      <c r="L23" s="56"/>
      <c r="M23" s="58"/>
      <c r="N23" s="58"/>
      <c r="O23" s="65"/>
      <c r="P23" s="65"/>
    </row>
    <row r="24" spans="1:16" s="161" customFormat="1" ht="38.25" x14ac:dyDescent="0.2">
      <c r="A24" s="266" t="s">
        <v>747</v>
      </c>
      <c r="B24" s="220">
        <v>94962</v>
      </c>
      <c r="C24" s="220" t="s">
        <v>1132</v>
      </c>
      <c r="D24" s="210" t="s">
        <v>32</v>
      </c>
      <c r="E24" s="211" t="s">
        <v>193</v>
      </c>
      <c r="F24" s="209" t="s">
        <v>93</v>
      </c>
      <c r="G24" s="235">
        <v>0.53</v>
      </c>
      <c r="H24" s="212">
        <v>360.57</v>
      </c>
      <c r="I24" s="212">
        <f>ROUND(IF(D24="S",(H24*(1+$I$7)),(H24*(1+$I$8))),2)</f>
        <v>468.92</v>
      </c>
      <c r="J24" s="212">
        <f>ROUND(G24*I24,2)</f>
        <v>248.53</v>
      </c>
      <c r="K24" s="68"/>
      <c r="L24" s="56"/>
      <c r="M24" s="58"/>
      <c r="N24" s="58"/>
      <c r="O24" s="65"/>
      <c r="P24" s="65"/>
    </row>
    <row r="25" spans="1:16" s="161" customFormat="1" ht="25.5" x14ac:dyDescent="0.2">
      <c r="A25" s="266" t="s">
        <v>748</v>
      </c>
      <c r="B25" s="220">
        <v>102487</v>
      </c>
      <c r="C25" s="220" t="s">
        <v>1132</v>
      </c>
      <c r="D25" s="210" t="s">
        <v>32</v>
      </c>
      <c r="E25" s="211" t="s">
        <v>196</v>
      </c>
      <c r="F25" s="209" t="s">
        <v>93</v>
      </c>
      <c r="G25" s="235">
        <v>34.58</v>
      </c>
      <c r="H25" s="212">
        <v>520.33000000000004</v>
      </c>
      <c r="I25" s="212">
        <f>ROUND(IF(D25="S",(H25*(1+$I$7)),(H25*(1+$I$8))),2)</f>
        <v>676.69</v>
      </c>
      <c r="J25" s="212">
        <f>ROUND(G25*I25,2)</f>
        <v>23399.94</v>
      </c>
      <c r="K25" s="68"/>
      <c r="L25" s="56"/>
      <c r="M25" s="58"/>
      <c r="N25" s="58"/>
      <c r="O25" s="65"/>
      <c r="P25" s="65"/>
    </row>
    <row r="26" spans="1:16" s="161" customFormat="1" ht="38.25" x14ac:dyDescent="0.2">
      <c r="A26" s="266" t="s">
        <v>749</v>
      </c>
      <c r="B26" s="220">
        <v>102474</v>
      </c>
      <c r="C26" s="220" t="s">
        <v>1132</v>
      </c>
      <c r="D26" s="210" t="s">
        <v>32</v>
      </c>
      <c r="E26" s="211" t="s">
        <v>195</v>
      </c>
      <c r="F26" s="209" t="s">
        <v>93</v>
      </c>
      <c r="G26" s="235">
        <v>19.170000000000002</v>
      </c>
      <c r="H26" s="212">
        <v>435.63</v>
      </c>
      <c r="I26" s="212">
        <f>ROUND(IF(D26="S",(H26*(1+$I$7)),(H26*(1+$I$8))),2)</f>
        <v>566.54</v>
      </c>
      <c r="J26" s="212">
        <f>ROUND(G26*I26,2)</f>
        <v>10860.57</v>
      </c>
      <c r="K26" s="68"/>
      <c r="L26" s="56"/>
      <c r="M26" s="58"/>
      <c r="N26" s="58"/>
      <c r="O26" s="65"/>
      <c r="P26" s="65"/>
    </row>
    <row r="27" spans="1:16" s="161" customFormat="1" ht="38.25" x14ac:dyDescent="0.2">
      <c r="A27" s="266" t="s">
        <v>750</v>
      </c>
      <c r="B27" s="220">
        <v>102477</v>
      </c>
      <c r="C27" s="220" t="s">
        <v>1132</v>
      </c>
      <c r="D27" s="210" t="s">
        <v>32</v>
      </c>
      <c r="E27" s="211" t="s">
        <v>194</v>
      </c>
      <c r="F27" s="209" t="s">
        <v>93</v>
      </c>
      <c r="G27" s="235">
        <v>7.85</v>
      </c>
      <c r="H27" s="212">
        <v>553.46</v>
      </c>
      <c r="I27" s="212">
        <f>ROUND(IF(D27="S",(H27*(1+$I$7)),(H27*(1+$I$8))),2)</f>
        <v>719.77</v>
      </c>
      <c r="J27" s="212">
        <f>ROUND(G27*I27,2)</f>
        <v>5650.19</v>
      </c>
      <c r="K27" s="68"/>
      <c r="L27" s="56"/>
      <c r="M27" s="58"/>
      <c r="N27" s="58"/>
      <c r="O27" s="65"/>
      <c r="P27" s="65"/>
    </row>
    <row r="28" spans="1:16" s="161" customFormat="1" ht="25.5" x14ac:dyDescent="0.2">
      <c r="A28" s="266" t="s">
        <v>751</v>
      </c>
      <c r="B28" s="220">
        <v>96546</v>
      </c>
      <c r="C28" s="220" t="s">
        <v>1132</v>
      </c>
      <c r="D28" s="210" t="s">
        <v>32</v>
      </c>
      <c r="E28" s="211" t="s">
        <v>197</v>
      </c>
      <c r="F28" s="209" t="s">
        <v>162</v>
      </c>
      <c r="G28" s="235">
        <v>710.1</v>
      </c>
      <c r="H28" s="212">
        <v>14.44</v>
      </c>
      <c r="I28" s="212">
        <f>ROUND(IF(D28="S",(H28*(1+$I$7)),(H28*(1+$I$8))),2)</f>
        <v>18.78</v>
      </c>
      <c r="J28" s="212">
        <f>ROUND(G28*I28,2)</f>
        <v>13335.68</v>
      </c>
      <c r="K28" s="68"/>
      <c r="L28" s="56"/>
      <c r="M28" s="58"/>
      <c r="N28" s="58"/>
      <c r="O28" s="65"/>
      <c r="P28" s="65"/>
    </row>
    <row r="29" spans="1:16" s="161" customFormat="1" ht="12.75" x14ac:dyDescent="0.2">
      <c r="A29" s="282" t="s">
        <v>205</v>
      </c>
      <c r="B29" s="276"/>
      <c r="C29" s="276"/>
      <c r="D29" s="276"/>
      <c r="E29" s="277" t="s">
        <v>95</v>
      </c>
      <c r="F29" s="276"/>
      <c r="G29" s="278"/>
      <c r="H29" s="279">
        <v>0</v>
      </c>
      <c r="I29" s="280"/>
      <c r="J29" s="280">
        <f>SUBTOTAL(9,J30:J30)</f>
        <v>986.65</v>
      </c>
      <c r="K29" s="68"/>
      <c r="L29" s="56"/>
      <c r="M29" s="58"/>
      <c r="N29" s="58"/>
      <c r="O29" s="65"/>
      <c r="P29" s="65"/>
    </row>
    <row r="30" spans="1:16" s="161" customFormat="1" ht="38.25" x14ac:dyDescent="0.2">
      <c r="A30" s="267" t="s">
        <v>206</v>
      </c>
      <c r="B30" s="221">
        <v>89453</v>
      </c>
      <c r="C30" s="220" t="s">
        <v>1132</v>
      </c>
      <c r="D30" s="214" t="s">
        <v>32</v>
      </c>
      <c r="E30" s="215" t="s">
        <v>198</v>
      </c>
      <c r="F30" s="213" t="s">
        <v>92</v>
      </c>
      <c r="G30" s="236">
        <v>10.4</v>
      </c>
      <c r="H30" s="216">
        <v>72.95</v>
      </c>
      <c r="I30" s="216">
        <f>ROUND(IF(D30="S",(H30*(1+$I$7)),(H30*(1+$I$8))),2)</f>
        <v>94.87</v>
      </c>
      <c r="J30" s="216">
        <f>ROUND(G30*I30,2)</f>
        <v>986.65</v>
      </c>
      <c r="K30" s="68"/>
      <c r="L30" s="56"/>
      <c r="M30" s="58"/>
      <c r="N30" s="58"/>
      <c r="O30" s="65"/>
      <c r="P30" s="65"/>
    </row>
    <row r="31" spans="1:16" ht="12.75" customHeight="1" x14ac:dyDescent="0.2">
      <c r="A31" s="67"/>
      <c r="B31" s="224"/>
      <c r="C31" s="91"/>
      <c r="D31" s="69"/>
      <c r="E31" s="70"/>
      <c r="F31" s="69"/>
      <c r="G31" s="241"/>
      <c r="H31" s="241"/>
      <c r="I31" s="241"/>
      <c r="J31" s="241"/>
      <c r="K31" s="64"/>
      <c r="L31" s="60"/>
      <c r="M31" s="65"/>
      <c r="N31" s="65"/>
      <c r="O31" s="65"/>
      <c r="P31" s="65"/>
    </row>
    <row r="32" spans="1:16" ht="12.75" customHeight="1" x14ac:dyDescent="0.2">
      <c r="A32" s="67"/>
      <c r="B32" s="224"/>
      <c r="C32" s="91"/>
      <c r="D32" s="69"/>
      <c r="E32" s="70"/>
      <c r="F32" s="69"/>
      <c r="G32" s="241"/>
      <c r="H32" s="241"/>
      <c r="I32" s="241"/>
      <c r="J32" s="241"/>
      <c r="K32" s="64"/>
      <c r="L32" s="60"/>
      <c r="M32" s="65"/>
      <c r="N32" s="65"/>
      <c r="O32" s="65"/>
      <c r="P32" s="65"/>
    </row>
    <row r="33" spans="1:16" ht="12.75" customHeight="1" x14ac:dyDescent="0.2">
      <c r="A33" s="67"/>
      <c r="B33" s="224"/>
      <c r="C33" s="91"/>
      <c r="D33" s="69"/>
      <c r="E33" s="70"/>
      <c r="F33" s="69"/>
      <c r="G33" s="241"/>
      <c r="H33" s="241"/>
      <c r="I33" s="241"/>
      <c r="J33" s="241"/>
      <c r="K33" s="64"/>
      <c r="L33" s="60"/>
      <c r="M33" s="65"/>
      <c r="N33" s="65"/>
      <c r="O33" s="65"/>
      <c r="P33" s="65"/>
    </row>
    <row r="34" spans="1:16" ht="12.75" customHeight="1" x14ac:dyDescent="0.2">
      <c r="A34" s="67"/>
      <c r="B34" s="224"/>
      <c r="C34" s="91"/>
      <c r="D34" s="69"/>
      <c r="E34" s="70"/>
      <c r="F34" s="69"/>
      <c r="G34" s="241"/>
      <c r="H34" s="241"/>
      <c r="I34" s="241"/>
      <c r="J34" s="241"/>
      <c r="K34" s="64"/>
      <c r="L34" s="60"/>
      <c r="M34" s="65"/>
      <c r="N34" s="65"/>
      <c r="O34" s="65"/>
      <c r="P34" s="65"/>
    </row>
    <row r="35" spans="1:16" ht="12.75" customHeight="1" x14ac:dyDescent="0.2">
      <c r="A35" s="67"/>
      <c r="B35" s="224"/>
      <c r="C35" s="91"/>
      <c r="D35" s="69"/>
      <c r="E35" s="70"/>
      <c r="F35" s="69"/>
      <c r="G35" s="241"/>
      <c r="H35" s="241"/>
      <c r="I35" s="241"/>
      <c r="J35" s="241"/>
      <c r="K35" s="64"/>
      <c r="L35" s="60"/>
      <c r="M35" s="65"/>
      <c r="N35" s="65"/>
      <c r="O35" s="65"/>
      <c r="P35" s="65"/>
    </row>
    <row r="36" spans="1:16" ht="12.75" customHeight="1" x14ac:dyDescent="0.2">
      <c r="A36" s="67"/>
      <c r="B36" s="224"/>
      <c r="C36" s="91"/>
      <c r="D36" s="69"/>
      <c r="E36" s="70"/>
      <c r="F36" s="69"/>
      <c r="G36" s="241"/>
      <c r="H36" s="241"/>
      <c r="I36" s="241"/>
      <c r="J36" s="241"/>
      <c r="K36" s="64"/>
      <c r="L36" s="60"/>
      <c r="M36" s="65"/>
      <c r="N36" s="65"/>
      <c r="O36" s="65"/>
      <c r="P36" s="65"/>
    </row>
    <row r="37" spans="1:16" ht="12.75" customHeight="1" x14ac:dyDescent="0.2">
      <c r="A37" s="67"/>
      <c r="B37" s="224"/>
      <c r="C37" s="91"/>
      <c r="D37" s="69"/>
      <c r="E37" s="70"/>
      <c r="F37" s="69"/>
      <c r="G37" s="241"/>
      <c r="H37" s="241"/>
      <c r="I37" s="241"/>
      <c r="J37" s="241"/>
      <c r="K37" s="64"/>
      <c r="L37" s="60"/>
      <c r="M37" s="65"/>
      <c r="N37" s="65"/>
      <c r="O37" s="65"/>
      <c r="P37" s="65"/>
    </row>
    <row r="38" spans="1:16" ht="12.75" customHeight="1" x14ac:dyDescent="0.2">
      <c r="A38" s="67"/>
      <c r="B38" s="224"/>
      <c r="C38" s="91"/>
      <c r="D38" s="69"/>
      <c r="E38" s="70"/>
      <c r="F38" s="69"/>
      <c r="G38" s="241"/>
      <c r="H38" s="241"/>
      <c r="I38" s="241"/>
      <c r="J38" s="241"/>
      <c r="K38" s="64"/>
      <c r="L38" s="60"/>
      <c r="M38" s="65"/>
      <c r="N38" s="65"/>
      <c r="O38" s="65"/>
      <c r="P38" s="65"/>
    </row>
    <row r="39" spans="1:16" ht="12.75" customHeight="1" x14ac:dyDescent="0.2">
      <c r="A39" s="67"/>
      <c r="B39" s="224"/>
      <c r="C39" s="91"/>
      <c r="D39" s="69"/>
      <c r="E39" s="70"/>
      <c r="F39" s="69"/>
      <c r="G39" s="241"/>
      <c r="H39" s="241"/>
      <c r="I39" s="241"/>
      <c r="J39" s="241"/>
      <c r="K39" s="64"/>
      <c r="L39" s="60"/>
      <c r="M39" s="65"/>
      <c r="N39" s="65"/>
      <c r="O39" s="65"/>
      <c r="P39" s="65"/>
    </row>
    <row r="40" spans="1:16" ht="12.75" customHeight="1" x14ac:dyDescent="0.2">
      <c r="A40" s="67"/>
      <c r="B40" s="224"/>
      <c r="C40" s="91"/>
      <c r="D40" s="69"/>
      <c r="E40" s="70"/>
      <c r="F40" s="69"/>
      <c r="G40" s="241"/>
      <c r="H40" s="241"/>
      <c r="I40" s="241"/>
      <c r="J40" s="241"/>
      <c r="K40" s="64"/>
      <c r="L40" s="60"/>
      <c r="M40" s="65"/>
      <c r="N40" s="65"/>
      <c r="O40" s="65"/>
      <c r="P40" s="65"/>
    </row>
    <row r="41" spans="1:16" ht="12.75" customHeight="1" x14ac:dyDescent="0.2">
      <c r="A41" s="67"/>
      <c r="B41" s="224"/>
      <c r="C41" s="91"/>
      <c r="D41" s="69"/>
      <c r="E41" s="70"/>
      <c r="F41" s="69"/>
      <c r="G41" s="241"/>
      <c r="H41" s="241"/>
      <c r="I41" s="241"/>
      <c r="J41" s="241"/>
      <c r="K41" s="64"/>
      <c r="L41" s="60"/>
      <c r="M41" s="65"/>
      <c r="N41" s="65"/>
      <c r="O41" s="65"/>
      <c r="P41" s="65"/>
    </row>
    <row r="42" spans="1:16" ht="12.75" customHeight="1" x14ac:dyDescent="0.2">
      <c r="A42" s="67"/>
      <c r="B42" s="224"/>
      <c r="C42" s="91"/>
      <c r="D42" s="69"/>
      <c r="E42" s="70"/>
      <c r="F42" s="69"/>
      <c r="G42" s="241"/>
      <c r="H42" s="241"/>
      <c r="I42" s="241"/>
      <c r="J42" s="241"/>
      <c r="K42" s="64"/>
      <c r="L42" s="60"/>
      <c r="M42" s="65"/>
      <c r="N42" s="65"/>
      <c r="O42" s="65"/>
      <c r="P42" s="65"/>
    </row>
    <row r="43" spans="1:16" ht="12.75" customHeight="1" x14ac:dyDescent="0.2">
      <c r="A43" s="67"/>
      <c r="B43" s="224"/>
      <c r="C43" s="91"/>
      <c r="D43" s="69"/>
      <c r="E43" s="70"/>
      <c r="F43" s="69"/>
      <c r="G43" s="241"/>
      <c r="H43" s="241"/>
      <c r="I43" s="241"/>
      <c r="J43" s="241"/>
      <c r="K43" s="64"/>
      <c r="L43" s="60"/>
      <c r="M43" s="65"/>
      <c r="N43" s="65"/>
      <c r="O43" s="65"/>
      <c r="P43" s="65"/>
    </row>
    <row r="44" spans="1:16" ht="12.75" customHeight="1" x14ac:dyDescent="0.2">
      <c r="A44" s="67"/>
      <c r="B44" s="224"/>
      <c r="C44" s="91"/>
      <c r="D44" s="69"/>
      <c r="E44" s="70"/>
      <c r="F44" s="69"/>
      <c r="G44" s="241"/>
      <c r="H44" s="241"/>
      <c r="I44" s="241"/>
      <c r="J44" s="241"/>
      <c r="K44" s="64"/>
      <c r="L44" s="60"/>
      <c r="M44" s="65"/>
      <c r="N44" s="65"/>
      <c r="O44" s="65"/>
      <c r="P44" s="65"/>
    </row>
    <row r="45" spans="1:16" ht="12.75" customHeight="1" x14ac:dyDescent="0.2">
      <c r="A45" s="67"/>
      <c r="B45" s="224"/>
      <c r="C45" s="91"/>
      <c r="D45" s="69"/>
      <c r="E45" s="70"/>
      <c r="F45" s="69"/>
      <c r="G45" s="241"/>
      <c r="H45" s="241"/>
      <c r="I45" s="241"/>
      <c r="J45" s="241"/>
      <c r="K45" s="64"/>
      <c r="L45" s="60"/>
      <c r="M45" s="65"/>
      <c r="N45" s="65"/>
      <c r="O45" s="65"/>
      <c r="P45" s="65"/>
    </row>
    <row r="46" spans="1:16" ht="12.75" customHeight="1" x14ac:dyDescent="0.2">
      <c r="A46" s="67"/>
      <c r="B46" s="224"/>
      <c r="C46" s="91"/>
      <c r="D46" s="69"/>
      <c r="E46" s="70"/>
      <c r="F46" s="69"/>
      <c r="G46" s="241"/>
      <c r="H46" s="241"/>
      <c r="I46" s="241"/>
      <c r="J46" s="241"/>
      <c r="K46" s="64"/>
      <c r="L46" s="60"/>
      <c r="M46" s="65"/>
      <c r="N46" s="65"/>
      <c r="O46" s="65"/>
      <c r="P46" s="65"/>
    </row>
    <row r="47" spans="1:16" ht="12.75" customHeight="1" x14ac:dyDescent="0.2">
      <c r="A47" s="67"/>
      <c r="B47" s="224"/>
      <c r="C47" s="91"/>
      <c r="D47" s="69"/>
      <c r="E47" s="70"/>
      <c r="F47" s="69"/>
      <c r="G47" s="241"/>
      <c r="H47" s="241"/>
      <c r="I47" s="241"/>
      <c r="J47" s="241"/>
      <c r="K47" s="64"/>
      <c r="L47" s="60"/>
      <c r="M47" s="65"/>
      <c r="N47" s="65"/>
      <c r="O47" s="65"/>
      <c r="P47" s="65"/>
    </row>
    <row r="48" spans="1:16" ht="12.75" customHeight="1" x14ac:dyDescent="0.2">
      <c r="A48" s="67"/>
      <c r="B48" s="224"/>
      <c r="C48" s="91"/>
      <c r="D48" s="69"/>
      <c r="E48" s="70"/>
      <c r="F48" s="69"/>
      <c r="G48" s="241"/>
      <c r="H48" s="241"/>
      <c r="I48" s="241"/>
      <c r="J48" s="241"/>
      <c r="K48" s="64"/>
      <c r="L48" s="60"/>
      <c r="M48" s="65"/>
      <c r="N48" s="65"/>
      <c r="O48" s="65"/>
      <c r="P48" s="65"/>
    </row>
    <row r="49" spans="1:16" ht="12.75" customHeight="1" x14ac:dyDescent="0.2">
      <c r="A49" s="67"/>
      <c r="B49" s="224"/>
      <c r="C49" s="91"/>
      <c r="D49" s="69"/>
      <c r="E49" s="70"/>
      <c r="F49" s="69"/>
      <c r="G49" s="241"/>
      <c r="H49" s="241"/>
      <c r="I49" s="241"/>
      <c r="J49" s="241"/>
      <c r="K49" s="64"/>
      <c r="L49" s="60"/>
      <c r="M49" s="65"/>
      <c r="N49" s="65"/>
      <c r="O49" s="65"/>
      <c r="P49" s="65"/>
    </row>
    <row r="50" spans="1:16" ht="12.75" customHeight="1" x14ac:dyDescent="0.2">
      <c r="A50" s="67"/>
      <c r="B50" s="224"/>
      <c r="C50" s="91"/>
      <c r="D50" s="69"/>
      <c r="E50" s="70"/>
      <c r="F50" s="69"/>
      <c r="G50" s="241"/>
      <c r="H50" s="241"/>
      <c r="I50" s="241"/>
      <c r="J50" s="241"/>
      <c r="K50" s="64"/>
      <c r="L50" s="60"/>
      <c r="M50" s="65"/>
      <c r="N50" s="65"/>
      <c r="O50" s="65"/>
      <c r="P50" s="65"/>
    </row>
    <row r="51" spans="1:16" ht="12.75" customHeight="1" x14ac:dyDescent="0.2">
      <c r="A51" s="67"/>
      <c r="B51" s="224"/>
      <c r="C51" s="91"/>
      <c r="D51" s="69"/>
      <c r="E51" s="70"/>
      <c r="F51" s="69"/>
      <c r="G51" s="241"/>
      <c r="H51" s="241"/>
      <c r="I51" s="241"/>
      <c r="J51" s="241"/>
      <c r="K51" s="64"/>
      <c r="L51" s="60"/>
      <c r="M51" s="65"/>
      <c r="N51" s="65"/>
      <c r="O51" s="65"/>
      <c r="P51" s="65"/>
    </row>
    <row r="52" spans="1:16" ht="12.75" customHeight="1" x14ac:dyDescent="0.2">
      <c r="A52" s="67"/>
      <c r="B52" s="224"/>
      <c r="C52" s="91"/>
      <c r="D52" s="69"/>
      <c r="E52" s="70"/>
      <c r="F52" s="69"/>
      <c r="G52" s="241"/>
      <c r="H52" s="241"/>
      <c r="I52" s="241"/>
      <c r="J52" s="241"/>
      <c r="K52" s="64"/>
      <c r="L52" s="60"/>
      <c r="M52" s="65"/>
      <c r="N52" s="65"/>
      <c r="O52" s="65"/>
      <c r="P52" s="65"/>
    </row>
    <row r="53" spans="1:16" ht="12.75" customHeight="1" x14ac:dyDescent="0.2">
      <c r="A53" s="67"/>
      <c r="B53" s="224"/>
      <c r="C53" s="91"/>
      <c r="D53" s="69"/>
      <c r="E53" s="70"/>
      <c r="F53" s="69"/>
      <c r="G53" s="241"/>
      <c r="H53" s="241"/>
      <c r="I53" s="241"/>
      <c r="J53" s="241"/>
      <c r="K53" s="64"/>
      <c r="L53" s="60"/>
      <c r="M53" s="65"/>
      <c r="N53" s="65"/>
      <c r="O53" s="65"/>
      <c r="P53" s="65"/>
    </row>
    <row r="54" spans="1:16" ht="12.75" customHeight="1" x14ac:dyDescent="0.2">
      <c r="A54" s="67"/>
      <c r="B54" s="224"/>
      <c r="C54" s="91"/>
      <c r="D54" s="69"/>
      <c r="E54" s="70"/>
      <c r="F54" s="69"/>
      <c r="G54" s="241"/>
      <c r="H54" s="241"/>
      <c r="I54" s="241"/>
      <c r="J54" s="241"/>
      <c r="K54" s="64"/>
      <c r="L54" s="60"/>
      <c r="M54" s="65"/>
      <c r="N54" s="65"/>
      <c r="O54" s="65"/>
      <c r="P54" s="65"/>
    </row>
    <row r="55" spans="1:16" ht="12.75" customHeight="1" x14ac:dyDescent="0.2">
      <c r="A55" s="67"/>
      <c r="B55" s="224"/>
      <c r="C55" s="91"/>
      <c r="D55" s="69"/>
      <c r="E55" s="70"/>
      <c r="F55" s="69"/>
      <c r="G55" s="241"/>
      <c r="H55" s="241"/>
      <c r="I55" s="241"/>
      <c r="J55" s="241"/>
      <c r="K55" s="64"/>
      <c r="L55" s="60"/>
      <c r="M55" s="65"/>
      <c r="N55" s="65"/>
      <c r="O55" s="65"/>
      <c r="P55" s="65"/>
    </row>
    <row r="56" spans="1:16" ht="12.75" customHeight="1" x14ac:dyDescent="0.2">
      <c r="A56" s="67"/>
      <c r="B56" s="224"/>
      <c r="C56" s="91"/>
      <c r="D56" s="69"/>
      <c r="E56" s="70"/>
      <c r="F56" s="69"/>
      <c r="G56" s="241"/>
      <c r="H56" s="241"/>
      <c r="I56" s="241"/>
      <c r="J56" s="241"/>
      <c r="K56" s="64"/>
      <c r="L56" s="60"/>
      <c r="M56" s="65"/>
      <c r="N56" s="65"/>
      <c r="O56" s="65"/>
      <c r="P56" s="65"/>
    </row>
    <row r="57" spans="1:16" ht="12.75" customHeight="1" x14ac:dyDescent="0.2">
      <c r="A57" s="67"/>
      <c r="B57" s="224"/>
      <c r="C57" s="91"/>
      <c r="D57" s="69"/>
      <c r="E57" s="70"/>
      <c r="F57" s="69"/>
      <c r="G57" s="241"/>
      <c r="H57" s="241"/>
      <c r="I57" s="241"/>
      <c r="J57" s="241"/>
      <c r="K57" s="64"/>
      <c r="L57" s="60"/>
      <c r="M57" s="65"/>
      <c r="N57" s="65"/>
      <c r="O57" s="65"/>
      <c r="P57" s="65"/>
    </row>
    <row r="58" spans="1:16" ht="12.75" customHeight="1" x14ac:dyDescent="0.2">
      <c r="A58" s="67"/>
      <c r="B58" s="224"/>
      <c r="C58" s="91"/>
      <c r="D58" s="69"/>
      <c r="E58" s="70"/>
      <c r="F58" s="69"/>
      <c r="G58" s="241"/>
      <c r="H58" s="241"/>
      <c r="I58" s="241"/>
      <c r="J58" s="241"/>
      <c r="K58" s="64"/>
      <c r="L58" s="60"/>
      <c r="M58" s="65"/>
      <c r="N58" s="65"/>
      <c r="O58" s="65"/>
      <c r="P58" s="65"/>
    </row>
    <row r="59" spans="1:16" ht="12.75" customHeight="1" x14ac:dyDescent="0.2">
      <c r="A59" s="67"/>
      <c r="B59" s="224"/>
      <c r="C59" s="91"/>
      <c r="D59" s="69"/>
      <c r="E59" s="70"/>
      <c r="F59" s="69"/>
      <c r="G59" s="241"/>
      <c r="H59" s="241"/>
      <c r="I59" s="241"/>
      <c r="J59" s="241"/>
      <c r="K59" s="64"/>
      <c r="L59" s="60"/>
      <c r="M59" s="65"/>
      <c r="N59" s="65"/>
      <c r="O59" s="65"/>
      <c r="P59" s="65"/>
    </row>
    <row r="60" spans="1:16" ht="12.75" customHeight="1" x14ac:dyDescent="0.2">
      <c r="A60" s="67"/>
      <c r="B60" s="224"/>
      <c r="C60" s="91"/>
      <c r="D60" s="69"/>
      <c r="E60" s="70"/>
      <c r="F60" s="69"/>
      <c r="G60" s="241"/>
      <c r="H60" s="241"/>
      <c r="I60" s="241"/>
      <c r="J60" s="241"/>
      <c r="K60" s="64"/>
      <c r="L60" s="60"/>
      <c r="M60" s="65"/>
      <c r="N60" s="65"/>
      <c r="O60" s="65"/>
      <c r="P60" s="65"/>
    </row>
    <row r="61" spans="1:16" ht="12.75" customHeight="1" x14ac:dyDescent="0.2">
      <c r="A61" s="67"/>
      <c r="B61" s="224"/>
      <c r="C61" s="91"/>
      <c r="D61" s="69"/>
      <c r="E61" s="70"/>
      <c r="F61" s="69"/>
      <c r="G61" s="241"/>
      <c r="H61" s="241"/>
      <c r="I61" s="241"/>
      <c r="J61" s="241"/>
      <c r="K61" s="64"/>
      <c r="L61" s="60"/>
      <c r="M61" s="65"/>
      <c r="N61" s="65"/>
      <c r="O61" s="65"/>
      <c r="P61" s="65"/>
    </row>
    <row r="62" spans="1:16" ht="12.75" customHeight="1" x14ac:dyDescent="0.2">
      <c r="A62" s="67"/>
      <c r="B62" s="224"/>
      <c r="C62" s="91"/>
      <c r="D62" s="69"/>
      <c r="E62" s="70"/>
      <c r="F62" s="69"/>
      <c r="G62" s="241"/>
      <c r="H62" s="241"/>
      <c r="I62" s="241"/>
      <c r="J62" s="241"/>
      <c r="K62" s="64"/>
      <c r="L62" s="60"/>
      <c r="M62" s="65"/>
      <c r="N62" s="65"/>
      <c r="O62" s="65"/>
      <c r="P62" s="65"/>
    </row>
    <row r="63" spans="1:16" ht="12.75" customHeight="1" x14ac:dyDescent="0.2">
      <c r="A63" s="67"/>
      <c r="B63" s="224"/>
      <c r="C63" s="91"/>
      <c r="D63" s="69"/>
      <c r="E63" s="70"/>
      <c r="F63" s="69"/>
      <c r="G63" s="241"/>
      <c r="H63" s="241"/>
      <c r="I63" s="241"/>
      <c r="J63" s="241"/>
      <c r="K63" s="64"/>
      <c r="L63" s="60"/>
      <c r="M63" s="65"/>
      <c r="N63" s="65"/>
      <c r="O63" s="65"/>
      <c r="P63" s="65"/>
    </row>
    <row r="64" spans="1:16" ht="12.75" customHeight="1" x14ac:dyDescent="0.2">
      <c r="A64" s="67"/>
      <c r="B64" s="224"/>
      <c r="C64" s="91"/>
      <c r="D64" s="69"/>
      <c r="E64" s="70"/>
      <c r="F64" s="69"/>
      <c r="G64" s="241"/>
      <c r="H64" s="241"/>
      <c r="I64" s="241"/>
      <c r="J64" s="241"/>
      <c r="K64" s="64"/>
      <c r="L64" s="60"/>
      <c r="M64" s="65"/>
      <c r="N64" s="65"/>
      <c r="O64" s="65"/>
      <c r="P64" s="65"/>
    </row>
    <row r="65" spans="1:16" ht="12.75" customHeight="1" x14ac:dyDescent="0.2">
      <c r="A65" s="67"/>
      <c r="B65" s="224"/>
      <c r="C65" s="91"/>
      <c r="D65" s="69"/>
      <c r="E65" s="70"/>
      <c r="F65" s="69"/>
      <c r="G65" s="241"/>
      <c r="H65" s="241"/>
      <c r="I65" s="241"/>
      <c r="J65" s="241"/>
      <c r="K65" s="64"/>
      <c r="L65" s="60"/>
      <c r="M65" s="65"/>
      <c r="N65" s="65"/>
      <c r="O65" s="65"/>
      <c r="P65" s="65"/>
    </row>
    <row r="66" spans="1:16" ht="12.75" customHeight="1" x14ac:dyDescent="0.2">
      <c r="A66" s="67"/>
      <c r="B66" s="224"/>
      <c r="C66" s="91"/>
      <c r="D66" s="69"/>
      <c r="E66" s="70"/>
      <c r="F66" s="69"/>
      <c r="G66" s="241"/>
      <c r="H66" s="241"/>
      <c r="I66" s="241"/>
      <c r="J66" s="241"/>
      <c r="K66" s="64"/>
      <c r="L66" s="60"/>
      <c r="M66" s="65"/>
      <c r="N66" s="65"/>
      <c r="O66" s="65"/>
      <c r="P66" s="65"/>
    </row>
    <row r="67" spans="1:16" ht="12.75" customHeight="1" x14ac:dyDescent="0.2">
      <c r="A67" s="67"/>
      <c r="B67" s="224"/>
      <c r="C67" s="91"/>
      <c r="D67" s="69"/>
      <c r="E67" s="70"/>
      <c r="F67" s="69"/>
      <c r="G67" s="241"/>
      <c r="H67" s="241"/>
      <c r="I67" s="241"/>
      <c r="J67" s="241"/>
      <c r="K67" s="64"/>
      <c r="L67" s="60"/>
      <c r="M67" s="65"/>
      <c r="N67" s="65"/>
      <c r="O67" s="65"/>
      <c r="P67" s="65"/>
    </row>
    <row r="68" spans="1:16" ht="12.75" customHeight="1" x14ac:dyDescent="0.2">
      <c r="A68" s="67"/>
      <c r="B68" s="224"/>
      <c r="C68" s="91"/>
      <c r="D68" s="69"/>
      <c r="E68" s="70"/>
      <c r="F68" s="69"/>
      <c r="G68" s="241"/>
      <c r="H68" s="241"/>
      <c r="I68" s="241"/>
      <c r="J68" s="241"/>
      <c r="K68" s="64"/>
      <c r="L68" s="60"/>
      <c r="M68" s="65"/>
      <c r="N68" s="65"/>
      <c r="O68" s="65"/>
      <c r="P68" s="65"/>
    </row>
    <row r="69" spans="1:16" ht="12.75" customHeight="1" x14ac:dyDescent="0.2">
      <c r="A69" s="67"/>
      <c r="B69" s="224"/>
      <c r="C69" s="91"/>
      <c r="D69" s="69"/>
      <c r="E69" s="70"/>
      <c r="F69" s="69"/>
      <c r="G69" s="241"/>
      <c r="H69" s="241"/>
      <c r="I69" s="241"/>
      <c r="J69" s="241"/>
      <c r="K69" s="64"/>
      <c r="L69" s="60"/>
      <c r="M69" s="65"/>
      <c r="N69" s="65"/>
      <c r="O69" s="65"/>
      <c r="P69" s="65"/>
    </row>
    <row r="70" spans="1:16" ht="12.75" customHeight="1" x14ac:dyDescent="0.2">
      <c r="A70" s="67"/>
      <c r="B70" s="224"/>
      <c r="C70" s="91"/>
      <c r="D70" s="69"/>
      <c r="E70" s="70"/>
      <c r="F70" s="69"/>
      <c r="G70" s="241"/>
      <c r="H70" s="241"/>
      <c r="I70" s="241"/>
      <c r="J70" s="241"/>
      <c r="K70" s="64"/>
      <c r="L70" s="60"/>
      <c r="M70" s="65"/>
      <c r="N70" s="65"/>
      <c r="O70" s="65"/>
      <c r="P70" s="65"/>
    </row>
    <row r="71" spans="1:16" ht="12.75" customHeight="1" x14ac:dyDescent="0.2">
      <c r="A71" s="67"/>
      <c r="B71" s="224"/>
      <c r="C71" s="91"/>
      <c r="D71" s="69"/>
      <c r="E71" s="70"/>
      <c r="F71" s="69"/>
      <c r="G71" s="241"/>
      <c r="H71" s="241"/>
      <c r="I71" s="241"/>
      <c r="J71" s="241"/>
      <c r="K71" s="64"/>
      <c r="L71" s="60"/>
      <c r="M71" s="65"/>
      <c r="N71" s="65"/>
      <c r="O71" s="65"/>
      <c r="P71" s="65"/>
    </row>
    <row r="72" spans="1:16" ht="12.75" customHeight="1" x14ac:dyDescent="0.2">
      <c r="A72" s="67"/>
      <c r="B72" s="224"/>
      <c r="C72" s="91"/>
      <c r="D72" s="69"/>
      <c r="E72" s="70"/>
      <c r="F72" s="69"/>
      <c r="G72" s="241"/>
      <c r="H72" s="241"/>
      <c r="I72" s="241"/>
      <c r="J72" s="241"/>
      <c r="K72" s="64"/>
      <c r="L72" s="60"/>
      <c r="M72" s="65"/>
      <c r="N72" s="65"/>
      <c r="O72" s="65"/>
      <c r="P72" s="65"/>
    </row>
    <row r="73" spans="1:16" ht="12.75" customHeight="1" x14ac:dyDescent="0.2">
      <c r="A73" s="67"/>
      <c r="B73" s="224"/>
      <c r="C73" s="91"/>
      <c r="D73" s="69"/>
      <c r="E73" s="70"/>
      <c r="F73" s="69"/>
      <c r="G73" s="241"/>
      <c r="H73" s="241"/>
      <c r="I73" s="241"/>
      <c r="J73" s="241"/>
      <c r="K73" s="64"/>
      <c r="L73" s="60"/>
      <c r="M73" s="65"/>
      <c r="N73" s="65"/>
      <c r="O73" s="65"/>
      <c r="P73" s="65"/>
    </row>
    <row r="74" spans="1:16" ht="12.75" customHeight="1" x14ac:dyDescent="0.2">
      <c r="A74" s="67"/>
      <c r="B74" s="224"/>
      <c r="C74" s="91"/>
      <c r="D74" s="69"/>
      <c r="E74" s="70"/>
      <c r="F74" s="69"/>
      <c r="G74" s="241"/>
      <c r="H74" s="241"/>
      <c r="I74" s="241"/>
      <c r="J74" s="241"/>
      <c r="K74" s="64"/>
      <c r="L74" s="60"/>
      <c r="M74" s="65"/>
      <c r="N74" s="65"/>
      <c r="O74" s="65"/>
      <c r="P74" s="65"/>
    </row>
    <row r="75" spans="1:16" ht="12.75" customHeight="1" x14ac:dyDescent="0.2">
      <c r="A75" s="67"/>
      <c r="B75" s="224"/>
      <c r="C75" s="91"/>
      <c r="D75" s="69"/>
      <c r="E75" s="70"/>
      <c r="F75" s="69"/>
      <c r="G75" s="241"/>
      <c r="H75" s="241"/>
      <c r="I75" s="241"/>
      <c r="J75" s="241"/>
      <c r="K75" s="64"/>
      <c r="L75" s="60"/>
      <c r="M75" s="65"/>
      <c r="N75" s="65"/>
      <c r="O75" s="65"/>
      <c r="P75" s="65"/>
    </row>
    <row r="76" spans="1:16" ht="12.75" customHeight="1" x14ac:dyDescent="0.2">
      <c r="A76" s="67"/>
      <c r="B76" s="224"/>
      <c r="C76" s="91"/>
      <c r="D76" s="69"/>
      <c r="E76" s="70"/>
      <c r="F76" s="69"/>
      <c r="G76" s="241"/>
      <c r="H76" s="241"/>
      <c r="I76" s="241"/>
      <c r="J76" s="241"/>
      <c r="K76" s="64"/>
      <c r="L76" s="60"/>
      <c r="M76" s="65"/>
      <c r="N76" s="65"/>
      <c r="O76" s="65"/>
      <c r="P76" s="65"/>
    </row>
    <row r="77" spans="1:16" ht="12.75" customHeight="1" x14ac:dyDescent="0.2">
      <c r="A77" s="67"/>
      <c r="B77" s="224"/>
      <c r="C77" s="91"/>
      <c r="D77" s="69"/>
      <c r="E77" s="70"/>
      <c r="F77" s="69"/>
      <c r="G77" s="241"/>
      <c r="H77" s="241"/>
      <c r="I77" s="241"/>
      <c r="J77" s="241"/>
      <c r="K77" s="64"/>
      <c r="L77" s="60"/>
      <c r="M77" s="65"/>
      <c r="N77" s="65"/>
      <c r="O77" s="65"/>
      <c r="P77" s="65"/>
    </row>
    <row r="78" spans="1:16" ht="12.75" customHeight="1" x14ac:dyDescent="0.2">
      <c r="A78" s="67"/>
      <c r="B78" s="224"/>
      <c r="C78" s="91"/>
      <c r="D78" s="69"/>
      <c r="E78" s="70"/>
      <c r="F78" s="69"/>
      <c r="G78" s="241"/>
      <c r="H78" s="241"/>
      <c r="I78" s="241"/>
      <c r="J78" s="241"/>
      <c r="K78" s="64"/>
      <c r="L78" s="60"/>
      <c r="M78" s="65"/>
      <c r="N78" s="65"/>
      <c r="O78" s="65"/>
      <c r="P78" s="65"/>
    </row>
    <row r="79" spans="1:16" ht="12.75" customHeight="1" x14ac:dyDescent="0.2">
      <c r="A79" s="67"/>
      <c r="B79" s="224"/>
      <c r="C79" s="91"/>
      <c r="D79" s="69"/>
      <c r="E79" s="70"/>
      <c r="F79" s="69"/>
      <c r="G79" s="241"/>
      <c r="H79" s="241"/>
      <c r="I79" s="241"/>
      <c r="J79" s="241"/>
      <c r="K79" s="64"/>
      <c r="L79" s="60"/>
      <c r="M79" s="65"/>
      <c r="N79" s="65"/>
      <c r="O79" s="65"/>
      <c r="P79" s="65"/>
    </row>
    <row r="80" spans="1:16" ht="12.75" customHeight="1" x14ac:dyDescent="0.2">
      <c r="A80" s="67"/>
      <c r="B80" s="224"/>
      <c r="C80" s="91"/>
      <c r="D80" s="69"/>
      <c r="E80" s="70"/>
      <c r="F80" s="69"/>
      <c r="G80" s="241"/>
      <c r="H80" s="241"/>
      <c r="I80" s="241"/>
      <c r="J80" s="241"/>
      <c r="K80" s="64"/>
      <c r="L80" s="60"/>
      <c r="M80" s="65"/>
      <c r="N80" s="65"/>
      <c r="O80" s="65"/>
      <c r="P80" s="65"/>
    </row>
    <row r="81" spans="1:16" ht="12.75" customHeight="1" x14ac:dyDescent="0.2">
      <c r="A81" s="67"/>
      <c r="B81" s="224"/>
      <c r="C81" s="91"/>
      <c r="D81" s="69"/>
      <c r="E81" s="70"/>
      <c r="F81" s="69"/>
      <c r="G81" s="241"/>
      <c r="H81" s="241"/>
      <c r="I81" s="241"/>
      <c r="J81" s="241"/>
      <c r="K81" s="64"/>
      <c r="L81" s="60"/>
      <c r="M81" s="65"/>
      <c r="N81" s="65"/>
      <c r="O81" s="65"/>
      <c r="P81" s="65"/>
    </row>
    <row r="82" spans="1:16" ht="12.75" customHeight="1" x14ac:dyDescent="0.2">
      <c r="A82" s="67"/>
      <c r="B82" s="224"/>
      <c r="C82" s="91"/>
      <c r="D82" s="69"/>
      <c r="E82" s="70"/>
      <c r="F82" s="69"/>
      <c r="G82" s="241"/>
      <c r="H82" s="241"/>
      <c r="I82" s="241"/>
      <c r="J82" s="241"/>
      <c r="K82" s="64"/>
      <c r="L82" s="60"/>
      <c r="M82" s="65"/>
      <c r="N82" s="65"/>
      <c r="O82" s="65"/>
      <c r="P82" s="65"/>
    </row>
    <row r="83" spans="1:16" ht="12.75" customHeight="1" x14ac:dyDescent="0.2">
      <c r="A83" s="67"/>
      <c r="B83" s="224"/>
      <c r="C83" s="91"/>
      <c r="D83" s="69"/>
      <c r="E83" s="70"/>
      <c r="F83" s="69"/>
      <c r="G83" s="241"/>
      <c r="H83" s="241"/>
      <c r="I83" s="241"/>
      <c r="J83" s="241"/>
      <c r="K83" s="64"/>
      <c r="L83" s="60"/>
      <c r="M83" s="65"/>
      <c r="N83" s="65"/>
      <c r="O83" s="65"/>
      <c r="P83" s="65"/>
    </row>
    <row r="84" spans="1:16" ht="12.75" customHeight="1" x14ac:dyDescent="0.2">
      <c r="A84" s="67"/>
      <c r="B84" s="224"/>
      <c r="C84" s="91"/>
      <c r="D84" s="69"/>
      <c r="E84" s="70"/>
      <c r="F84" s="69"/>
      <c r="G84" s="241"/>
      <c r="H84" s="241"/>
      <c r="I84" s="241"/>
      <c r="J84" s="241"/>
      <c r="K84" s="64"/>
      <c r="L84" s="60"/>
      <c r="M84" s="65"/>
      <c r="N84" s="65"/>
      <c r="O84" s="65"/>
      <c r="P84" s="65"/>
    </row>
    <row r="85" spans="1:16" ht="12.75" customHeight="1" x14ac:dyDescent="0.2">
      <c r="A85" s="67"/>
      <c r="B85" s="224"/>
      <c r="C85" s="91"/>
      <c r="D85" s="69"/>
      <c r="E85" s="70"/>
      <c r="F85" s="69"/>
      <c r="G85" s="241"/>
      <c r="H85" s="241"/>
      <c r="I85" s="241"/>
      <c r="J85" s="241"/>
      <c r="K85" s="64"/>
      <c r="L85" s="60"/>
      <c r="M85" s="65"/>
      <c r="N85" s="65"/>
      <c r="O85" s="65"/>
      <c r="P85" s="65"/>
    </row>
    <row r="86" spans="1:16" ht="12.75" customHeight="1" x14ac:dyDescent="0.2">
      <c r="A86" s="67"/>
      <c r="B86" s="224"/>
      <c r="C86" s="91"/>
      <c r="D86" s="69"/>
      <c r="E86" s="70"/>
      <c r="F86" s="69"/>
      <c r="G86" s="241"/>
      <c r="H86" s="241"/>
      <c r="I86" s="241"/>
      <c r="J86" s="241"/>
      <c r="K86" s="64"/>
      <c r="L86" s="60"/>
      <c r="M86" s="65"/>
      <c r="N86" s="65"/>
      <c r="O86" s="65"/>
      <c r="P86" s="65"/>
    </row>
    <row r="87" spans="1:16" ht="12.75" customHeight="1" x14ac:dyDescent="0.2">
      <c r="A87" s="67"/>
      <c r="B87" s="224"/>
      <c r="C87" s="91"/>
      <c r="D87" s="69"/>
      <c r="E87" s="70"/>
      <c r="F87" s="69"/>
      <c r="G87" s="241"/>
      <c r="H87" s="241"/>
      <c r="I87" s="241"/>
      <c r="J87" s="241"/>
      <c r="K87" s="64"/>
      <c r="L87" s="60"/>
      <c r="M87" s="65"/>
      <c r="N87" s="65"/>
      <c r="O87" s="65"/>
      <c r="P87" s="65"/>
    </row>
    <row r="88" spans="1:16" ht="12.75" customHeight="1" x14ac:dyDescent="0.2">
      <c r="A88" s="67"/>
      <c r="B88" s="224"/>
      <c r="C88" s="91"/>
      <c r="D88" s="69"/>
      <c r="E88" s="70"/>
      <c r="F88" s="69"/>
      <c r="G88" s="241"/>
      <c r="H88" s="241"/>
      <c r="I88" s="241"/>
      <c r="J88" s="241"/>
      <c r="K88" s="64"/>
      <c r="L88" s="60"/>
      <c r="M88" s="65"/>
      <c r="N88" s="65"/>
      <c r="O88" s="65"/>
      <c r="P88" s="65"/>
    </row>
    <row r="89" spans="1:16" ht="12.75" customHeight="1" x14ac:dyDescent="0.2">
      <c r="A89" s="67"/>
      <c r="B89" s="224"/>
      <c r="C89" s="91"/>
      <c r="D89" s="69"/>
      <c r="E89" s="70"/>
      <c r="F89" s="69"/>
      <c r="G89" s="241"/>
      <c r="H89" s="241"/>
      <c r="I89" s="241"/>
      <c r="J89" s="241"/>
      <c r="K89" s="64"/>
      <c r="L89" s="60"/>
      <c r="M89" s="65"/>
      <c r="N89" s="65"/>
      <c r="O89" s="65"/>
      <c r="P89" s="65"/>
    </row>
    <row r="90" spans="1:16" ht="12.75" customHeight="1" x14ac:dyDescent="0.2">
      <c r="A90" s="67"/>
      <c r="B90" s="224"/>
      <c r="C90" s="91"/>
      <c r="D90" s="69"/>
      <c r="E90" s="70"/>
      <c r="F90" s="69"/>
      <c r="G90" s="241"/>
      <c r="H90" s="241"/>
      <c r="I90" s="241"/>
      <c r="J90" s="241"/>
      <c r="K90" s="64"/>
      <c r="L90" s="60"/>
      <c r="M90" s="65"/>
      <c r="N90" s="65"/>
      <c r="O90" s="65"/>
      <c r="P90" s="65"/>
    </row>
    <row r="91" spans="1:16" ht="12.75" customHeight="1" x14ac:dyDescent="0.2">
      <c r="A91" s="67"/>
      <c r="B91" s="224"/>
      <c r="C91" s="91"/>
      <c r="D91" s="69"/>
      <c r="E91" s="70"/>
      <c r="F91" s="69"/>
      <c r="G91" s="241"/>
      <c r="H91" s="241"/>
      <c r="I91" s="241"/>
      <c r="J91" s="241"/>
      <c r="K91" s="64"/>
      <c r="L91" s="60"/>
      <c r="M91" s="65"/>
      <c r="N91" s="65"/>
      <c r="O91" s="65"/>
      <c r="P91" s="65"/>
    </row>
    <row r="92" spans="1:16" ht="12.75" customHeight="1" x14ac:dyDescent="0.2">
      <c r="A92" s="67"/>
      <c r="B92" s="224"/>
      <c r="C92" s="91"/>
      <c r="D92" s="69"/>
      <c r="E92" s="70"/>
      <c r="F92" s="69"/>
      <c r="G92" s="241"/>
      <c r="H92" s="241"/>
      <c r="I92" s="241"/>
      <c r="J92" s="241"/>
      <c r="K92" s="64"/>
      <c r="L92" s="60"/>
      <c r="M92" s="65"/>
      <c r="N92" s="65"/>
      <c r="O92" s="65"/>
      <c r="P92" s="65"/>
    </row>
    <row r="93" spans="1:16" ht="12.75" customHeight="1" x14ac:dyDescent="0.2">
      <c r="A93" s="67"/>
      <c r="B93" s="224"/>
      <c r="C93" s="91"/>
      <c r="D93" s="69"/>
      <c r="E93" s="70"/>
      <c r="F93" s="69"/>
      <c r="G93" s="241"/>
      <c r="H93" s="241"/>
      <c r="I93" s="241"/>
      <c r="J93" s="241"/>
      <c r="K93" s="64"/>
      <c r="L93" s="60"/>
      <c r="M93" s="65"/>
      <c r="N93" s="65"/>
      <c r="O93" s="65"/>
      <c r="P93" s="65"/>
    </row>
    <row r="94" spans="1:16" ht="12.75" customHeight="1" x14ac:dyDescent="0.2">
      <c r="A94" s="67"/>
      <c r="B94" s="224"/>
      <c r="C94" s="91"/>
      <c r="D94" s="69"/>
      <c r="E94" s="70"/>
      <c r="F94" s="69"/>
      <c r="G94" s="241"/>
      <c r="H94" s="241"/>
      <c r="I94" s="241"/>
      <c r="J94" s="241"/>
      <c r="K94" s="64"/>
      <c r="L94" s="60"/>
      <c r="M94" s="65"/>
      <c r="N94" s="65"/>
      <c r="O94" s="65"/>
      <c r="P94" s="65"/>
    </row>
    <row r="95" spans="1:16" ht="12.75" customHeight="1" x14ac:dyDescent="0.2">
      <c r="A95" s="67"/>
      <c r="B95" s="224"/>
      <c r="C95" s="91"/>
      <c r="D95" s="69"/>
      <c r="E95" s="70"/>
      <c r="F95" s="69"/>
      <c r="G95" s="241"/>
      <c r="H95" s="241"/>
      <c r="I95" s="241"/>
      <c r="J95" s="241"/>
      <c r="K95" s="64"/>
      <c r="L95" s="60"/>
      <c r="M95" s="65"/>
      <c r="N95" s="65"/>
      <c r="O95" s="65"/>
      <c r="P95" s="65"/>
    </row>
    <row r="96" spans="1:16" ht="12.75" customHeight="1" x14ac:dyDescent="0.2">
      <c r="A96" s="67"/>
      <c r="B96" s="224"/>
      <c r="C96" s="91"/>
      <c r="D96" s="69"/>
      <c r="E96" s="70"/>
      <c r="F96" s="69"/>
      <c r="G96" s="241"/>
      <c r="H96" s="241"/>
      <c r="I96" s="241"/>
      <c r="J96" s="241"/>
      <c r="K96" s="64"/>
      <c r="L96" s="60"/>
      <c r="M96" s="65"/>
      <c r="N96" s="65"/>
      <c r="O96" s="65"/>
      <c r="P96" s="65"/>
    </row>
    <row r="97" spans="1:16" ht="12.75" customHeight="1" x14ac:dyDescent="0.2">
      <c r="A97" s="67"/>
      <c r="B97" s="224"/>
      <c r="C97" s="91"/>
      <c r="D97" s="69"/>
      <c r="E97" s="70"/>
      <c r="F97" s="69"/>
      <c r="G97" s="241"/>
      <c r="H97" s="241"/>
      <c r="I97" s="241"/>
      <c r="J97" s="241"/>
      <c r="K97" s="64"/>
      <c r="L97" s="60"/>
      <c r="M97" s="65"/>
      <c r="N97" s="65"/>
      <c r="O97" s="65"/>
      <c r="P97" s="65"/>
    </row>
    <row r="98" spans="1:16" ht="12.75" customHeight="1" x14ac:dyDescent="0.2">
      <c r="A98" s="67"/>
      <c r="B98" s="224"/>
      <c r="C98" s="91"/>
      <c r="D98" s="69"/>
      <c r="E98" s="70"/>
      <c r="F98" s="69"/>
      <c r="G98" s="241"/>
      <c r="H98" s="241"/>
      <c r="I98" s="241"/>
      <c r="J98" s="241"/>
      <c r="K98" s="64"/>
      <c r="L98" s="60"/>
      <c r="M98" s="65"/>
      <c r="N98" s="65"/>
      <c r="O98" s="65"/>
      <c r="P98" s="65"/>
    </row>
    <row r="99" spans="1:16" ht="12.75" customHeight="1" x14ac:dyDescent="0.2">
      <c r="A99" s="67"/>
      <c r="B99" s="224"/>
      <c r="C99" s="91"/>
      <c r="D99" s="69"/>
      <c r="E99" s="70"/>
      <c r="F99" s="69"/>
      <c r="G99" s="241"/>
      <c r="H99" s="241"/>
      <c r="I99" s="241"/>
      <c r="J99" s="241"/>
      <c r="K99" s="64"/>
      <c r="L99" s="60"/>
      <c r="M99" s="65"/>
      <c r="N99" s="65"/>
      <c r="O99" s="65"/>
      <c r="P99" s="65"/>
    </row>
    <row r="100" spans="1:16" ht="12.75" customHeight="1" x14ac:dyDescent="0.2">
      <c r="A100" s="67"/>
      <c r="B100" s="224"/>
      <c r="C100" s="91"/>
      <c r="D100" s="69"/>
      <c r="E100" s="70"/>
      <c r="F100" s="69"/>
      <c r="G100" s="241"/>
      <c r="H100" s="241"/>
      <c r="I100" s="241"/>
      <c r="J100" s="241"/>
      <c r="K100" s="64"/>
      <c r="L100" s="60"/>
      <c r="M100" s="65"/>
      <c r="N100" s="65"/>
      <c r="O100" s="65"/>
      <c r="P100" s="65"/>
    </row>
    <row r="101" spans="1:16" ht="12.75" customHeight="1" x14ac:dyDescent="0.2">
      <c r="A101" s="67"/>
      <c r="B101" s="224"/>
      <c r="C101" s="91"/>
      <c r="D101" s="69"/>
      <c r="E101" s="70"/>
      <c r="F101" s="69"/>
      <c r="G101" s="241"/>
      <c r="H101" s="241"/>
      <c r="I101" s="241"/>
      <c r="J101" s="241"/>
      <c r="K101" s="64"/>
      <c r="L101" s="60"/>
      <c r="M101" s="65"/>
      <c r="N101" s="65"/>
      <c r="O101" s="65"/>
      <c r="P101" s="65"/>
    </row>
    <row r="102" spans="1:16" ht="12.75" customHeight="1" x14ac:dyDescent="0.2">
      <c r="A102" s="67"/>
      <c r="B102" s="224"/>
      <c r="C102" s="91"/>
      <c r="D102" s="69"/>
      <c r="E102" s="70"/>
      <c r="F102" s="69"/>
      <c r="G102" s="241"/>
      <c r="H102" s="241"/>
      <c r="I102" s="241"/>
      <c r="J102" s="241"/>
      <c r="K102" s="64"/>
      <c r="L102" s="60"/>
      <c r="M102" s="65"/>
      <c r="N102" s="65"/>
      <c r="O102" s="65"/>
      <c r="P102" s="65"/>
    </row>
    <row r="103" spans="1:16" ht="12.75" customHeight="1" x14ac:dyDescent="0.2">
      <c r="A103" s="67"/>
      <c r="B103" s="224"/>
      <c r="C103" s="91"/>
      <c r="D103" s="69"/>
      <c r="E103" s="70"/>
      <c r="F103" s="69"/>
      <c r="G103" s="241"/>
      <c r="H103" s="241"/>
      <c r="I103" s="241"/>
      <c r="J103" s="241"/>
      <c r="K103" s="64"/>
      <c r="L103" s="60"/>
      <c r="M103" s="65"/>
      <c r="N103" s="65"/>
      <c r="O103" s="65"/>
      <c r="P103" s="65"/>
    </row>
    <row r="104" spans="1:16" ht="12.75" customHeight="1" x14ac:dyDescent="0.2">
      <c r="A104" s="67"/>
      <c r="B104" s="224"/>
      <c r="C104" s="91"/>
      <c r="D104" s="69"/>
      <c r="E104" s="70"/>
      <c r="F104" s="69"/>
      <c r="G104" s="241"/>
      <c r="H104" s="241"/>
      <c r="I104" s="241"/>
      <c r="J104" s="241"/>
      <c r="K104" s="64"/>
      <c r="L104" s="60"/>
      <c r="M104" s="65"/>
      <c r="N104" s="65"/>
      <c r="O104" s="65"/>
      <c r="P104" s="65"/>
    </row>
    <row r="105" spans="1:16" ht="12.75" customHeight="1" x14ac:dyDescent="0.2">
      <c r="A105" s="67"/>
      <c r="B105" s="224"/>
      <c r="C105" s="91"/>
      <c r="D105" s="69"/>
      <c r="E105" s="70"/>
      <c r="F105" s="69"/>
      <c r="G105" s="241"/>
      <c r="H105" s="241"/>
      <c r="I105" s="241"/>
      <c r="J105" s="241"/>
      <c r="K105" s="64"/>
      <c r="L105" s="60"/>
      <c r="M105" s="65"/>
      <c r="N105" s="65"/>
      <c r="O105" s="65"/>
      <c r="P105" s="65"/>
    </row>
    <row r="106" spans="1:16" ht="12.75" customHeight="1" x14ac:dyDescent="0.2">
      <c r="A106" s="67"/>
      <c r="B106" s="224"/>
      <c r="C106" s="91"/>
      <c r="D106" s="69"/>
      <c r="E106" s="70"/>
      <c r="F106" s="69"/>
      <c r="G106" s="241"/>
      <c r="H106" s="241"/>
      <c r="I106" s="241"/>
      <c r="J106" s="241"/>
      <c r="K106" s="64"/>
      <c r="L106" s="60"/>
      <c r="M106" s="65"/>
      <c r="N106" s="65"/>
      <c r="O106" s="65"/>
      <c r="P106" s="65"/>
    </row>
    <row r="107" spans="1:16" ht="12.75" customHeight="1" x14ac:dyDescent="0.2">
      <c r="A107" s="67"/>
      <c r="B107" s="224"/>
      <c r="C107" s="91"/>
      <c r="D107" s="69"/>
      <c r="E107" s="70"/>
      <c r="F107" s="69"/>
      <c r="G107" s="241"/>
      <c r="H107" s="241"/>
      <c r="I107" s="241"/>
      <c r="J107" s="241"/>
      <c r="K107" s="64"/>
      <c r="L107" s="60"/>
      <c r="M107" s="65"/>
      <c r="N107" s="65"/>
      <c r="O107" s="65"/>
      <c r="P107" s="65"/>
    </row>
    <row r="108" spans="1:16" ht="12.75" customHeight="1" x14ac:dyDescent="0.2">
      <c r="A108" s="67"/>
      <c r="B108" s="224"/>
      <c r="C108" s="91"/>
      <c r="D108" s="69"/>
      <c r="E108" s="70"/>
      <c r="F108" s="69"/>
      <c r="G108" s="241"/>
      <c r="H108" s="241"/>
      <c r="I108" s="241"/>
      <c r="J108" s="241"/>
      <c r="K108" s="64"/>
      <c r="L108" s="60"/>
      <c r="M108" s="65"/>
      <c r="N108" s="65"/>
      <c r="O108" s="65"/>
      <c r="P108" s="65"/>
    </row>
    <row r="109" spans="1:16" ht="12.75" customHeight="1" x14ac:dyDescent="0.2">
      <c r="A109" s="67"/>
      <c r="B109" s="224"/>
      <c r="C109" s="91"/>
      <c r="D109" s="69"/>
      <c r="E109" s="70"/>
      <c r="F109" s="69"/>
      <c r="G109" s="241"/>
      <c r="H109" s="241"/>
      <c r="I109" s="241"/>
      <c r="J109" s="241"/>
      <c r="K109" s="64"/>
      <c r="L109" s="60"/>
      <c r="M109" s="65"/>
      <c r="N109" s="65"/>
      <c r="O109" s="65"/>
      <c r="P109" s="65"/>
    </row>
    <row r="110" spans="1:16" ht="12.75" customHeight="1" x14ac:dyDescent="0.2">
      <c r="A110" s="67"/>
      <c r="B110" s="224"/>
      <c r="C110" s="91"/>
      <c r="D110" s="69"/>
      <c r="E110" s="70"/>
      <c r="F110" s="69"/>
      <c r="G110" s="241"/>
      <c r="H110" s="241"/>
      <c r="I110" s="241"/>
      <c r="J110" s="241"/>
      <c r="K110" s="64"/>
      <c r="L110" s="60"/>
      <c r="M110" s="65"/>
      <c r="N110" s="65"/>
      <c r="O110" s="65"/>
      <c r="P110" s="65"/>
    </row>
    <row r="111" spans="1:16" ht="12.75" customHeight="1" x14ac:dyDescent="0.2">
      <c r="A111" s="67"/>
      <c r="B111" s="224"/>
      <c r="C111" s="91"/>
      <c r="D111" s="69"/>
      <c r="E111" s="70"/>
      <c r="F111" s="69"/>
      <c r="G111" s="241"/>
      <c r="H111" s="241"/>
      <c r="I111" s="241"/>
      <c r="J111" s="241"/>
      <c r="K111" s="64"/>
      <c r="L111" s="60"/>
      <c r="M111" s="65"/>
      <c r="N111" s="65"/>
      <c r="O111" s="65"/>
      <c r="P111" s="65"/>
    </row>
    <row r="112" spans="1:16" ht="12.75" customHeight="1" x14ac:dyDescent="0.2">
      <c r="A112" s="67"/>
      <c r="B112" s="224"/>
      <c r="C112" s="91"/>
      <c r="D112" s="69"/>
      <c r="E112" s="70"/>
      <c r="F112" s="69"/>
      <c r="G112" s="241"/>
      <c r="H112" s="241"/>
      <c r="I112" s="241"/>
      <c r="J112" s="241"/>
      <c r="K112" s="64"/>
      <c r="L112" s="60"/>
      <c r="M112" s="65"/>
      <c r="N112" s="65"/>
      <c r="O112" s="65"/>
      <c r="P112" s="65"/>
    </row>
    <row r="113" spans="1:16" ht="12.75" customHeight="1" x14ac:dyDescent="0.2">
      <c r="A113" s="67"/>
      <c r="B113" s="224"/>
      <c r="C113" s="91"/>
      <c r="D113" s="69"/>
      <c r="E113" s="70"/>
      <c r="F113" s="69"/>
      <c r="G113" s="241"/>
      <c r="H113" s="241"/>
      <c r="I113" s="241"/>
      <c r="J113" s="241"/>
      <c r="K113" s="64"/>
      <c r="L113" s="60"/>
      <c r="M113" s="65"/>
      <c r="N113" s="65"/>
      <c r="O113" s="65"/>
      <c r="P113" s="65"/>
    </row>
    <row r="114" spans="1:16" ht="12.75" customHeight="1" x14ac:dyDescent="0.2">
      <c r="A114" s="67"/>
      <c r="B114" s="224"/>
      <c r="C114" s="91"/>
      <c r="D114" s="69"/>
      <c r="E114" s="70"/>
      <c r="F114" s="69"/>
      <c r="G114" s="241"/>
      <c r="H114" s="241"/>
      <c r="I114" s="241"/>
      <c r="J114" s="241"/>
      <c r="K114" s="64"/>
      <c r="L114" s="60"/>
      <c r="M114" s="65"/>
      <c r="N114" s="65"/>
      <c r="O114" s="65"/>
      <c r="P114" s="65"/>
    </row>
    <row r="115" spans="1:16" ht="12.75" customHeight="1" x14ac:dyDescent="0.2">
      <c r="A115" s="67"/>
      <c r="B115" s="224"/>
      <c r="C115" s="91"/>
      <c r="D115" s="69"/>
      <c r="E115" s="70"/>
      <c r="F115" s="69"/>
      <c r="G115" s="241"/>
      <c r="H115" s="241"/>
      <c r="I115" s="241"/>
      <c r="J115" s="241"/>
      <c r="K115" s="64"/>
      <c r="L115" s="60"/>
      <c r="M115" s="65"/>
      <c r="N115" s="65"/>
      <c r="O115" s="65"/>
      <c r="P115" s="65"/>
    </row>
    <row r="116" spans="1:16" ht="12.75" customHeight="1" x14ac:dyDescent="0.2">
      <c r="A116" s="67"/>
      <c r="B116" s="224"/>
      <c r="C116" s="91"/>
      <c r="D116" s="69"/>
      <c r="E116" s="70"/>
      <c r="F116" s="69"/>
      <c r="G116" s="241"/>
      <c r="H116" s="241"/>
      <c r="I116" s="241"/>
      <c r="J116" s="241"/>
      <c r="K116" s="64"/>
      <c r="L116" s="60"/>
      <c r="M116" s="65"/>
      <c r="N116" s="65"/>
      <c r="O116" s="65"/>
      <c r="P116" s="65"/>
    </row>
    <row r="117" spans="1:16" ht="12.75" customHeight="1" x14ac:dyDescent="0.2">
      <c r="A117" s="67"/>
      <c r="B117" s="224"/>
      <c r="C117" s="91"/>
      <c r="D117" s="69"/>
      <c r="E117" s="70"/>
      <c r="F117" s="69"/>
      <c r="G117" s="241"/>
      <c r="H117" s="241"/>
      <c r="I117" s="241"/>
      <c r="J117" s="241"/>
      <c r="K117" s="64"/>
      <c r="L117" s="60"/>
      <c r="M117" s="65"/>
      <c r="N117" s="65"/>
      <c r="O117" s="65"/>
      <c r="P117" s="65"/>
    </row>
    <row r="118" spans="1:16" ht="12.75" customHeight="1" x14ac:dyDescent="0.2">
      <c r="A118" s="67"/>
      <c r="B118" s="224"/>
      <c r="C118" s="91"/>
      <c r="D118" s="69"/>
      <c r="E118" s="70"/>
      <c r="F118" s="69"/>
      <c r="G118" s="241"/>
      <c r="H118" s="241"/>
      <c r="I118" s="241"/>
      <c r="J118" s="241"/>
      <c r="K118" s="64"/>
      <c r="L118" s="60"/>
      <c r="M118" s="65"/>
      <c r="N118" s="65"/>
      <c r="O118" s="65"/>
      <c r="P118" s="65"/>
    </row>
    <row r="119" spans="1:16" ht="12.75" customHeight="1" x14ac:dyDescent="0.2">
      <c r="A119" s="67"/>
      <c r="B119" s="224"/>
      <c r="C119" s="91"/>
      <c r="D119" s="69"/>
      <c r="E119" s="70"/>
      <c r="F119" s="69"/>
      <c r="G119" s="241"/>
      <c r="H119" s="241"/>
      <c r="I119" s="241"/>
      <c r="J119" s="241"/>
      <c r="K119" s="64"/>
      <c r="L119" s="60"/>
      <c r="M119" s="65"/>
      <c r="N119" s="65"/>
      <c r="O119" s="65"/>
      <c r="P119" s="65"/>
    </row>
    <row r="120" spans="1:16" ht="12.75" customHeight="1" x14ac:dyDescent="0.2">
      <c r="A120" s="67"/>
      <c r="B120" s="224"/>
      <c r="C120" s="91"/>
      <c r="D120" s="69"/>
      <c r="E120" s="70"/>
      <c r="F120" s="69"/>
      <c r="G120" s="241"/>
      <c r="H120" s="241"/>
      <c r="I120" s="241"/>
      <c r="J120" s="241"/>
      <c r="K120" s="64"/>
      <c r="L120" s="60"/>
      <c r="M120" s="65"/>
      <c r="N120" s="65"/>
      <c r="O120" s="65"/>
      <c r="P120" s="65"/>
    </row>
    <row r="121" spans="1:16" ht="12.75" customHeight="1" x14ac:dyDescent="0.2">
      <c r="A121" s="67"/>
      <c r="B121" s="224"/>
      <c r="C121" s="91"/>
      <c r="D121" s="69"/>
      <c r="E121" s="70"/>
      <c r="F121" s="69"/>
      <c r="G121" s="241"/>
      <c r="H121" s="241"/>
      <c r="I121" s="241"/>
      <c r="J121" s="241"/>
      <c r="K121" s="64"/>
      <c r="L121" s="60"/>
      <c r="M121" s="65"/>
      <c r="N121" s="65"/>
      <c r="O121" s="65"/>
      <c r="P121" s="65"/>
    </row>
    <row r="122" spans="1:16" ht="12.75" customHeight="1" x14ac:dyDescent="0.2">
      <c r="A122" s="67"/>
      <c r="B122" s="224"/>
      <c r="C122" s="91"/>
      <c r="D122" s="69"/>
      <c r="E122" s="70"/>
      <c r="F122" s="69"/>
      <c r="G122" s="241"/>
      <c r="H122" s="241"/>
      <c r="I122" s="241"/>
      <c r="J122" s="241"/>
      <c r="K122" s="64"/>
      <c r="L122" s="60"/>
      <c r="M122" s="65"/>
      <c r="N122" s="65"/>
      <c r="O122" s="65"/>
      <c r="P122" s="65"/>
    </row>
    <row r="123" spans="1:16" ht="12.75" customHeight="1" x14ac:dyDescent="0.2">
      <c r="A123" s="67"/>
      <c r="B123" s="224"/>
      <c r="C123" s="91"/>
      <c r="D123" s="69"/>
      <c r="E123" s="70"/>
      <c r="F123" s="69"/>
      <c r="G123" s="241"/>
      <c r="H123" s="241"/>
      <c r="I123" s="241"/>
      <c r="J123" s="241"/>
      <c r="K123" s="64"/>
      <c r="L123" s="60"/>
      <c r="M123" s="65"/>
      <c r="N123" s="65"/>
      <c r="O123" s="65"/>
      <c r="P123" s="65"/>
    </row>
    <row r="124" spans="1:16" ht="12.75" customHeight="1" x14ac:dyDescent="0.2">
      <c r="A124" s="67"/>
      <c r="B124" s="224"/>
      <c r="C124" s="91"/>
      <c r="D124" s="69"/>
      <c r="E124" s="70"/>
      <c r="F124" s="69"/>
      <c r="G124" s="241"/>
      <c r="H124" s="241"/>
      <c r="I124" s="241"/>
      <c r="J124" s="241"/>
      <c r="K124" s="64"/>
      <c r="L124" s="60"/>
      <c r="M124" s="65"/>
      <c r="N124" s="65"/>
      <c r="O124" s="65"/>
      <c r="P124" s="65"/>
    </row>
    <row r="125" spans="1:16" ht="12.75" customHeight="1" x14ac:dyDescent="0.2">
      <c r="A125" s="67"/>
      <c r="B125" s="224"/>
      <c r="C125" s="91"/>
      <c r="D125" s="69"/>
      <c r="E125" s="70"/>
      <c r="F125" s="69"/>
      <c r="G125" s="241"/>
      <c r="H125" s="241"/>
      <c r="I125" s="241"/>
      <c r="J125" s="241"/>
      <c r="K125" s="64"/>
      <c r="L125" s="60"/>
      <c r="M125" s="65"/>
      <c r="N125" s="65"/>
      <c r="O125" s="65"/>
      <c r="P125" s="65"/>
    </row>
    <row r="126" spans="1:16" ht="12.75" customHeight="1" x14ac:dyDescent="0.2">
      <c r="A126" s="67"/>
      <c r="B126" s="224"/>
      <c r="C126" s="91"/>
      <c r="D126" s="69"/>
      <c r="E126" s="70"/>
      <c r="F126" s="69"/>
      <c r="G126" s="241"/>
      <c r="H126" s="241"/>
      <c r="I126" s="241"/>
      <c r="J126" s="241"/>
      <c r="K126" s="64"/>
      <c r="L126" s="60"/>
      <c r="M126" s="65"/>
      <c r="N126" s="65"/>
      <c r="O126" s="65"/>
      <c r="P126" s="65"/>
    </row>
    <row r="127" spans="1:16" ht="12.75" customHeight="1" x14ac:dyDescent="0.2">
      <c r="A127" s="67"/>
      <c r="B127" s="224"/>
      <c r="C127" s="91"/>
      <c r="D127" s="69"/>
      <c r="E127" s="70"/>
      <c r="F127" s="69"/>
      <c r="G127" s="241"/>
      <c r="H127" s="241"/>
      <c r="I127" s="241"/>
      <c r="J127" s="241"/>
      <c r="K127" s="64"/>
      <c r="L127" s="60"/>
      <c r="M127" s="65"/>
      <c r="N127" s="65"/>
      <c r="O127" s="65"/>
      <c r="P127" s="65"/>
    </row>
    <row r="128" spans="1:16" ht="12.75" customHeight="1" x14ac:dyDescent="0.2">
      <c r="A128" s="67"/>
      <c r="B128" s="224"/>
      <c r="C128" s="91"/>
      <c r="D128" s="69"/>
      <c r="E128" s="70"/>
      <c r="F128" s="69"/>
      <c r="G128" s="241"/>
      <c r="H128" s="241"/>
      <c r="I128" s="241"/>
      <c r="J128" s="241"/>
      <c r="K128" s="64"/>
      <c r="L128" s="60"/>
      <c r="M128" s="65"/>
      <c r="N128" s="65"/>
      <c r="O128" s="65"/>
      <c r="P128" s="65"/>
    </row>
    <row r="129" spans="1:16" ht="12.75" customHeight="1" x14ac:dyDescent="0.2">
      <c r="A129" s="67"/>
      <c r="B129" s="224"/>
      <c r="C129" s="91"/>
      <c r="D129" s="69"/>
      <c r="E129" s="70"/>
      <c r="F129" s="69"/>
      <c r="G129" s="241"/>
      <c r="H129" s="241"/>
      <c r="I129" s="241"/>
      <c r="J129" s="241"/>
      <c r="K129" s="64"/>
      <c r="L129" s="60"/>
      <c r="M129" s="65"/>
      <c r="N129" s="65"/>
      <c r="O129" s="65"/>
      <c r="P129" s="65"/>
    </row>
    <row r="130" spans="1:16" ht="12.75" customHeight="1" x14ac:dyDescent="0.2">
      <c r="A130" s="67"/>
      <c r="B130" s="224"/>
      <c r="C130" s="91"/>
      <c r="D130" s="69"/>
      <c r="E130" s="70"/>
      <c r="F130" s="69"/>
      <c r="G130" s="241"/>
      <c r="H130" s="241"/>
      <c r="I130" s="241"/>
      <c r="J130" s="241"/>
      <c r="K130" s="64"/>
      <c r="L130" s="60"/>
      <c r="M130" s="65"/>
      <c r="N130" s="65"/>
      <c r="O130" s="65"/>
      <c r="P130" s="65"/>
    </row>
    <row r="131" spans="1:16" ht="12.75" customHeight="1" x14ac:dyDescent="0.2">
      <c r="A131" s="67"/>
      <c r="B131" s="224"/>
      <c r="C131" s="91"/>
      <c r="D131" s="69"/>
      <c r="E131" s="70"/>
      <c r="F131" s="69"/>
      <c r="G131" s="241"/>
      <c r="H131" s="241"/>
      <c r="I131" s="241"/>
      <c r="J131" s="241"/>
      <c r="K131" s="64"/>
      <c r="L131" s="60"/>
      <c r="M131" s="65"/>
      <c r="N131" s="65"/>
      <c r="O131" s="65"/>
      <c r="P131" s="65"/>
    </row>
    <row r="132" spans="1:16" ht="12.75" customHeight="1" x14ac:dyDescent="0.2">
      <c r="A132" s="67"/>
      <c r="B132" s="224"/>
      <c r="C132" s="91"/>
      <c r="D132" s="69"/>
      <c r="E132" s="70"/>
      <c r="F132" s="69"/>
      <c r="G132" s="241"/>
      <c r="H132" s="241"/>
      <c r="I132" s="241"/>
      <c r="J132" s="241"/>
      <c r="K132" s="64"/>
      <c r="L132" s="60"/>
      <c r="M132" s="65"/>
      <c r="N132" s="65"/>
      <c r="O132" s="65"/>
      <c r="P132" s="65"/>
    </row>
    <row r="133" spans="1:16" ht="12.75" customHeight="1" x14ac:dyDescent="0.2">
      <c r="A133" s="67"/>
      <c r="B133" s="224"/>
      <c r="C133" s="91"/>
      <c r="D133" s="69"/>
      <c r="E133" s="70"/>
      <c r="F133" s="69"/>
      <c r="G133" s="241"/>
      <c r="H133" s="241"/>
      <c r="I133" s="241"/>
      <c r="J133" s="241"/>
      <c r="K133" s="64"/>
      <c r="L133" s="60"/>
      <c r="M133" s="65"/>
      <c r="N133" s="65"/>
      <c r="O133" s="65"/>
      <c r="P133" s="65"/>
    </row>
    <row r="134" spans="1:16" ht="12.75" customHeight="1" x14ac:dyDescent="0.2">
      <c r="A134" s="67"/>
      <c r="B134" s="224"/>
      <c r="C134" s="91"/>
      <c r="D134" s="69"/>
      <c r="E134" s="70"/>
      <c r="F134" s="69"/>
      <c r="G134" s="241"/>
      <c r="H134" s="241"/>
      <c r="I134" s="241"/>
      <c r="J134" s="241"/>
      <c r="K134" s="64"/>
      <c r="L134" s="60"/>
      <c r="M134" s="65"/>
      <c r="N134" s="65"/>
      <c r="O134" s="65"/>
      <c r="P134" s="65"/>
    </row>
    <row r="135" spans="1:16" ht="12.75" customHeight="1" x14ac:dyDescent="0.2">
      <c r="A135" s="67"/>
      <c r="B135" s="224"/>
      <c r="C135" s="91"/>
      <c r="D135" s="69"/>
      <c r="E135" s="70"/>
      <c r="F135" s="69"/>
      <c r="G135" s="241"/>
      <c r="H135" s="241"/>
      <c r="I135" s="241"/>
      <c r="J135" s="241"/>
      <c r="K135" s="64"/>
      <c r="L135" s="60"/>
      <c r="M135" s="65"/>
      <c r="N135" s="65"/>
      <c r="O135" s="65"/>
      <c r="P135" s="65"/>
    </row>
    <row r="136" spans="1:16" ht="12.75" customHeight="1" x14ac:dyDescent="0.2">
      <c r="A136" s="67"/>
      <c r="B136" s="224"/>
      <c r="C136" s="91"/>
      <c r="D136" s="69"/>
      <c r="E136" s="70"/>
      <c r="F136" s="69"/>
      <c r="G136" s="241"/>
      <c r="H136" s="241"/>
      <c r="I136" s="241"/>
      <c r="J136" s="241"/>
      <c r="K136" s="64"/>
      <c r="L136" s="60"/>
      <c r="M136" s="65"/>
      <c r="N136" s="65"/>
      <c r="O136" s="65"/>
      <c r="P136" s="65"/>
    </row>
    <row r="137" spans="1:16" ht="12.75" customHeight="1" x14ac:dyDescent="0.2">
      <c r="A137" s="67"/>
      <c r="B137" s="224"/>
      <c r="C137" s="91"/>
      <c r="D137" s="69"/>
      <c r="E137" s="70"/>
      <c r="F137" s="69"/>
      <c r="G137" s="241"/>
      <c r="H137" s="241"/>
      <c r="I137" s="241"/>
      <c r="J137" s="241"/>
      <c r="K137" s="64"/>
      <c r="L137" s="60"/>
      <c r="M137" s="65"/>
      <c r="N137" s="65"/>
      <c r="O137" s="65"/>
      <c r="P137" s="65"/>
    </row>
    <row r="138" spans="1:16" ht="12.75" customHeight="1" x14ac:dyDescent="0.2">
      <c r="A138" s="67"/>
      <c r="B138" s="224"/>
      <c r="C138" s="91"/>
      <c r="D138" s="69"/>
      <c r="E138" s="70"/>
      <c r="F138" s="69"/>
      <c r="G138" s="241"/>
      <c r="H138" s="241"/>
      <c r="I138" s="241"/>
      <c r="J138" s="241"/>
      <c r="K138" s="64"/>
      <c r="L138" s="60"/>
      <c r="M138" s="65"/>
      <c r="N138" s="65"/>
      <c r="O138" s="65"/>
      <c r="P138" s="65"/>
    </row>
    <row r="139" spans="1:16" ht="12.75" customHeight="1" x14ac:dyDescent="0.2">
      <c r="A139" s="67"/>
      <c r="B139" s="224"/>
      <c r="C139" s="91"/>
      <c r="D139" s="69"/>
      <c r="E139" s="70"/>
      <c r="F139" s="69"/>
      <c r="G139" s="241"/>
      <c r="H139" s="241"/>
      <c r="I139" s="241"/>
      <c r="J139" s="241"/>
      <c r="K139" s="64"/>
      <c r="L139" s="60"/>
      <c r="M139" s="65"/>
      <c r="N139" s="65"/>
      <c r="O139" s="65"/>
      <c r="P139" s="65"/>
    </row>
    <row r="140" spans="1:16" ht="12.75" customHeight="1" x14ac:dyDescent="0.2">
      <c r="A140" s="67"/>
      <c r="B140" s="224"/>
      <c r="C140" s="91"/>
      <c r="D140" s="69"/>
      <c r="E140" s="70"/>
      <c r="F140" s="69"/>
      <c r="G140" s="241"/>
      <c r="H140" s="241"/>
      <c r="I140" s="241"/>
      <c r="J140" s="241"/>
      <c r="K140" s="64"/>
      <c r="L140" s="60"/>
      <c r="M140" s="65"/>
      <c r="N140" s="65"/>
      <c r="O140" s="65"/>
      <c r="P140" s="65"/>
    </row>
    <row r="141" spans="1:16" ht="12.75" customHeight="1" x14ac:dyDescent="0.2">
      <c r="A141" s="67"/>
      <c r="B141" s="224"/>
      <c r="C141" s="91"/>
      <c r="D141" s="69"/>
      <c r="E141" s="70"/>
      <c r="F141" s="69"/>
      <c r="G141" s="241"/>
      <c r="H141" s="241"/>
      <c r="I141" s="241"/>
      <c r="J141" s="241"/>
      <c r="K141" s="64"/>
      <c r="L141" s="60"/>
      <c r="M141" s="65"/>
      <c r="N141" s="65"/>
      <c r="O141" s="65"/>
      <c r="P141" s="65"/>
    </row>
    <row r="142" spans="1:16" ht="12.75" customHeight="1" x14ac:dyDescent="0.2">
      <c r="A142" s="67"/>
      <c r="B142" s="224"/>
      <c r="C142" s="91"/>
      <c r="D142" s="69"/>
      <c r="E142" s="70"/>
      <c r="F142" s="69"/>
      <c r="G142" s="241"/>
      <c r="H142" s="241"/>
      <c r="I142" s="241"/>
      <c r="J142" s="241"/>
      <c r="K142" s="64"/>
      <c r="L142" s="60"/>
      <c r="M142" s="65"/>
      <c r="N142" s="65"/>
      <c r="O142" s="65"/>
      <c r="P142" s="65"/>
    </row>
  </sheetData>
  <mergeCells count="10">
    <mergeCell ref="F7:H7"/>
    <mergeCell ref="F8:H8"/>
    <mergeCell ref="C1:E1"/>
    <mergeCell ref="F1:J4"/>
    <mergeCell ref="F6:H6"/>
    <mergeCell ref="A5:J5"/>
    <mergeCell ref="C2:E2"/>
    <mergeCell ref="C3:E3"/>
    <mergeCell ref="C4:E4"/>
    <mergeCell ref="A6:E8"/>
  </mergeCells>
  <phoneticPr fontId="11" type="noConversion"/>
  <printOptions horizontalCentered="1"/>
  <pageMargins left="0.70866141732283472" right="0.70866141732283472" top="0.74803149606299213" bottom="0.74803149606299213" header="0" footer="0"/>
  <pageSetup scale="55" orientation="landscape" r:id="rId1"/>
  <headerFooter>
    <oddFooter>&amp;CPágina &amp;P de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74"/>
  <sheetViews>
    <sheetView view="pageBreakPreview" zoomScale="85" zoomScaleNormal="85" zoomScaleSheetLayoutView="85" workbookViewId="0">
      <selection activeCell="F25" sqref="F25"/>
    </sheetView>
  </sheetViews>
  <sheetFormatPr defaultColWidth="12.5703125" defaultRowHeight="12.75" x14ac:dyDescent="0.2"/>
  <cols>
    <col min="1" max="1" width="16.7109375" style="260" customWidth="1"/>
    <col min="2" max="3" width="16.7109375" style="218" customWidth="1"/>
    <col min="4" max="4" width="5.7109375" customWidth="1"/>
    <col min="5" max="5" width="70.7109375" customWidth="1"/>
    <col min="6" max="6" width="10.7109375" customWidth="1"/>
    <col min="7" max="10" width="17.7109375" style="230" customWidth="1"/>
    <col min="11" max="11" width="10.7109375" customWidth="1"/>
    <col min="12" max="13" width="8" customWidth="1"/>
  </cols>
  <sheetData>
    <row r="1" spans="1:13" ht="18.399999999999999" customHeight="1" x14ac:dyDescent="0.2">
      <c r="A1" s="268" t="s">
        <v>38</v>
      </c>
      <c r="B1" s="331" t="s">
        <v>1</v>
      </c>
      <c r="C1" s="352"/>
      <c r="D1" s="312"/>
      <c r="E1" s="313"/>
      <c r="F1" s="322" t="s">
        <v>2</v>
      </c>
      <c r="G1" s="342"/>
      <c r="H1" s="342"/>
      <c r="I1" s="342"/>
      <c r="J1" s="343"/>
      <c r="K1" s="11"/>
      <c r="L1" s="11"/>
      <c r="M1" s="11"/>
    </row>
    <row r="2" spans="1:13" ht="18.399999999999999" customHeight="1" x14ac:dyDescent="0.2">
      <c r="A2" s="256" t="s">
        <v>3</v>
      </c>
      <c r="B2" s="331" t="s">
        <v>4</v>
      </c>
      <c r="C2" s="352"/>
      <c r="D2" s="312"/>
      <c r="E2" s="313"/>
      <c r="F2" s="344"/>
      <c r="G2" s="345"/>
      <c r="H2" s="345"/>
      <c r="I2" s="345"/>
      <c r="J2" s="346"/>
      <c r="K2" s="11"/>
      <c r="L2" s="11"/>
      <c r="M2" s="11"/>
    </row>
    <row r="3" spans="1:13" ht="18.399999999999999" customHeight="1" x14ac:dyDescent="0.2">
      <c r="A3" s="256" t="s">
        <v>5</v>
      </c>
      <c r="B3" s="328" t="s">
        <v>6</v>
      </c>
      <c r="C3" s="353"/>
      <c r="D3" s="312"/>
      <c r="E3" s="313"/>
      <c r="F3" s="344"/>
      <c r="G3" s="345"/>
      <c r="H3" s="345"/>
      <c r="I3" s="345"/>
      <c r="J3" s="346"/>
      <c r="K3" s="11"/>
      <c r="L3" s="11"/>
      <c r="M3" s="11"/>
    </row>
    <row r="4" spans="1:13" ht="18.399999999999999" customHeight="1" x14ac:dyDescent="0.2">
      <c r="A4" s="257" t="s">
        <v>7</v>
      </c>
      <c r="B4" s="321"/>
      <c r="C4" s="338"/>
      <c r="D4" s="312"/>
      <c r="E4" s="313"/>
      <c r="F4" s="347"/>
      <c r="G4" s="348"/>
      <c r="H4" s="348"/>
      <c r="I4" s="348"/>
      <c r="J4" s="349"/>
      <c r="K4" s="11"/>
      <c r="L4" s="11"/>
      <c r="M4" s="11"/>
    </row>
    <row r="5" spans="1:13" ht="18.399999999999999" customHeight="1" x14ac:dyDescent="0.2">
      <c r="A5" s="350" t="s">
        <v>8</v>
      </c>
      <c r="B5" s="312"/>
      <c r="C5" s="351"/>
      <c r="D5" s="312"/>
      <c r="E5" s="312"/>
      <c r="F5" s="312"/>
      <c r="G5" s="312"/>
      <c r="H5" s="312"/>
      <c r="I5" s="312"/>
      <c r="J5" s="313"/>
      <c r="K5" s="11"/>
      <c r="L5" s="11"/>
      <c r="M5" s="11"/>
    </row>
    <row r="6" spans="1:13" ht="18.399999999999999" customHeight="1" x14ac:dyDescent="0.2">
      <c r="A6" s="330" t="s">
        <v>513</v>
      </c>
      <c r="B6" s="340"/>
      <c r="C6" s="340"/>
      <c r="D6" s="340"/>
      <c r="E6" s="323"/>
      <c r="F6" s="359" t="s">
        <v>9</v>
      </c>
      <c r="G6" s="312"/>
      <c r="H6" s="313"/>
      <c r="I6" s="227" t="s">
        <v>1140</v>
      </c>
      <c r="J6" s="237"/>
      <c r="K6" s="11"/>
      <c r="L6" s="11"/>
      <c r="M6" s="11"/>
    </row>
    <row r="7" spans="1:13" ht="18.399999999999999" customHeight="1" x14ac:dyDescent="0.2">
      <c r="A7" s="324"/>
      <c r="B7" s="316"/>
      <c r="C7" s="316"/>
      <c r="D7" s="316"/>
      <c r="E7" s="325"/>
      <c r="F7" s="359" t="s">
        <v>10</v>
      </c>
      <c r="G7" s="312"/>
      <c r="H7" s="313"/>
      <c r="I7" s="255">
        <f>BDI!C20</f>
        <v>0.30049999999999999</v>
      </c>
      <c r="J7" s="238"/>
      <c r="K7" s="11"/>
      <c r="L7" s="11"/>
      <c r="M7" s="11"/>
    </row>
    <row r="8" spans="1:13" ht="18.399999999999999" customHeight="1" x14ac:dyDescent="0.2">
      <c r="A8" s="326"/>
      <c r="B8" s="341"/>
      <c r="C8" s="341"/>
      <c r="D8" s="341"/>
      <c r="E8" s="327"/>
      <c r="F8" s="357" t="s">
        <v>11</v>
      </c>
      <c r="G8" s="312"/>
      <c r="H8" s="313"/>
      <c r="I8" s="255">
        <v>0.16669999999999999</v>
      </c>
      <c r="J8" s="234"/>
      <c r="K8" s="11"/>
      <c r="L8" s="11"/>
      <c r="M8" s="11"/>
    </row>
    <row r="9" spans="1:13" ht="30" x14ac:dyDescent="0.2">
      <c r="A9" s="258" t="s">
        <v>12</v>
      </c>
      <c r="B9" s="226" t="s">
        <v>39</v>
      </c>
      <c r="C9" s="226"/>
      <c r="D9" s="226" t="s">
        <v>24</v>
      </c>
      <c r="E9" s="226" t="s">
        <v>13</v>
      </c>
      <c r="F9" s="226" t="s">
        <v>26</v>
      </c>
      <c r="G9" s="247" t="s">
        <v>27</v>
      </c>
      <c r="H9" s="248" t="s">
        <v>40</v>
      </c>
      <c r="I9" s="248" t="s">
        <v>29</v>
      </c>
      <c r="J9" s="248" t="s">
        <v>30</v>
      </c>
      <c r="K9" s="53"/>
      <c r="L9" s="53"/>
      <c r="M9" s="53"/>
    </row>
    <row r="10" spans="1:13" s="165" customFormat="1" ht="15" x14ac:dyDescent="0.2">
      <c r="A10" s="281">
        <v>7</v>
      </c>
      <c r="B10" s="271"/>
      <c r="C10" s="271"/>
      <c r="D10" s="271"/>
      <c r="E10" s="272" t="s">
        <v>514</v>
      </c>
      <c r="F10" s="271"/>
      <c r="G10" s="273"/>
      <c r="H10" s="274"/>
      <c r="I10" s="275"/>
      <c r="J10" s="275">
        <f>SUBTOTAL(9,J11:J162)</f>
        <v>947688.54000000062</v>
      </c>
      <c r="K10" s="53"/>
      <c r="L10" s="53"/>
      <c r="M10" s="53"/>
    </row>
    <row r="11" spans="1:13" s="162" customFormat="1" ht="15" customHeight="1" x14ac:dyDescent="0.2">
      <c r="A11" s="282" t="s">
        <v>69</v>
      </c>
      <c r="B11" s="276"/>
      <c r="C11" s="276"/>
      <c r="D11" s="276"/>
      <c r="E11" s="277" t="s">
        <v>536</v>
      </c>
      <c r="F11" s="276"/>
      <c r="G11" s="278"/>
      <c r="H11" s="279"/>
      <c r="I11" s="280"/>
      <c r="J11" s="280">
        <f>SUBTOTAL(9,J12:J58)</f>
        <v>545826.10000000021</v>
      </c>
      <c r="K11" s="53"/>
      <c r="L11" s="53"/>
      <c r="M11" s="53"/>
    </row>
    <row r="12" spans="1:13" s="162" customFormat="1" x14ac:dyDescent="0.2">
      <c r="A12" s="282" t="s">
        <v>70</v>
      </c>
      <c r="B12" s="276"/>
      <c r="C12" s="276"/>
      <c r="D12" s="276"/>
      <c r="E12" s="277" t="s">
        <v>91</v>
      </c>
      <c r="F12" s="276"/>
      <c r="G12" s="278"/>
      <c r="H12" s="279"/>
      <c r="I12" s="280"/>
      <c r="J12" s="280">
        <f>SUBTOTAL(9,J13)</f>
        <v>3737.03</v>
      </c>
      <c r="K12" s="53"/>
      <c r="L12" s="53"/>
      <c r="M12" s="53"/>
    </row>
    <row r="13" spans="1:13" s="162" customFormat="1" ht="25.5" x14ac:dyDescent="0.2">
      <c r="A13" s="266" t="s">
        <v>515</v>
      </c>
      <c r="B13" s="220">
        <v>99059</v>
      </c>
      <c r="C13" s="220" t="s">
        <v>1132</v>
      </c>
      <c r="D13" s="210" t="s">
        <v>32</v>
      </c>
      <c r="E13" s="211" t="s">
        <v>150</v>
      </c>
      <c r="F13" s="209" t="s">
        <v>35</v>
      </c>
      <c r="G13" s="235">
        <v>59.85</v>
      </c>
      <c r="H13" s="212">
        <v>48.01</v>
      </c>
      <c r="I13" s="212">
        <f>ROUND(IF(D13="S",(H13*(1+$I$7)),(H13*(1+$I$8))),2)</f>
        <v>62.44</v>
      </c>
      <c r="J13" s="212">
        <f>ROUND(G13*I13,2)</f>
        <v>3737.03</v>
      </c>
      <c r="K13" s="53"/>
      <c r="L13" s="53"/>
      <c r="M13" s="53"/>
    </row>
    <row r="14" spans="1:13" s="162" customFormat="1" x14ac:dyDescent="0.2">
      <c r="A14" s="282" t="s">
        <v>516</v>
      </c>
      <c r="B14" s="276"/>
      <c r="C14" s="276"/>
      <c r="D14" s="276"/>
      <c r="E14" s="277" t="s">
        <v>94</v>
      </c>
      <c r="F14" s="276"/>
      <c r="G14" s="278"/>
      <c r="H14" s="279">
        <v>0</v>
      </c>
      <c r="I14" s="280"/>
      <c r="J14" s="280">
        <f>SUBTOTAL(9,J15:J21)</f>
        <v>9284.1899999999987</v>
      </c>
      <c r="K14" s="53"/>
      <c r="L14" s="53"/>
      <c r="M14" s="53"/>
    </row>
    <row r="15" spans="1:13" s="162" customFormat="1" ht="76.5" x14ac:dyDescent="0.2">
      <c r="A15" s="266" t="s">
        <v>517</v>
      </c>
      <c r="B15" s="220">
        <v>90107</v>
      </c>
      <c r="C15" s="220" t="s">
        <v>1132</v>
      </c>
      <c r="D15" s="210" t="s">
        <v>32</v>
      </c>
      <c r="E15" s="211" t="s">
        <v>207</v>
      </c>
      <c r="F15" s="209" t="s">
        <v>93</v>
      </c>
      <c r="G15" s="235">
        <v>317.24</v>
      </c>
      <c r="H15" s="212">
        <v>5.56</v>
      </c>
      <c r="I15" s="212">
        <f t="shared" ref="I15:I21" si="0">ROUND(IF(D15="S",(H15*(1+$I$7)),(H15*(1+$I$8))),2)</f>
        <v>7.23</v>
      </c>
      <c r="J15" s="212">
        <f t="shared" ref="J15:J21" si="1">ROUND(G15*I15,2)</f>
        <v>2293.65</v>
      </c>
      <c r="K15" s="53"/>
      <c r="L15" s="53"/>
      <c r="M15" s="53"/>
    </row>
    <row r="16" spans="1:13" s="162" customFormat="1" ht="63.75" x14ac:dyDescent="0.2">
      <c r="A16" s="266" t="s">
        <v>518</v>
      </c>
      <c r="B16" s="220">
        <v>102328</v>
      </c>
      <c r="C16" s="220" t="s">
        <v>1132</v>
      </c>
      <c r="D16" s="210" t="s">
        <v>32</v>
      </c>
      <c r="E16" s="211" t="s">
        <v>208</v>
      </c>
      <c r="F16" s="209" t="s">
        <v>93</v>
      </c>
      <c r="G16" s="235">
        <v>35.25</v>
      </c>
      <c r="H16" s="212">
        <v>6.96</v>
      </c>
      <c r="I16" s="212">
        <f t="shared" si="0"/>
        <v>9.0500000000000007</v>
      </c>
      <c r="J16" s="212">
        <f t="shared" si="1"/>
        <v>319.01</v>
      </c>
      <c r="K16" s="53"/>
      <c r="L16" s="53"/>
      <c r="M16" s="53"/>
    </row>
    <row r="17" spans="1:13" s="162" customFormat="1" ht="25.5" x14ac:dyDescent="0.2">
      <c r="A17" s="266" t="s">
        <v>519</v>
      </c>
      <c r="B17" s="220">
        <v>93358</v>
      </c>
      <c r="C17" s="220" t="s">
        <v>1132</v>
      </c>
      <c r="D17" s="210" t="s">
        <v>32</v>
      </c>
      <c r="E17" s="211" t="s">
        <v>187</v>
      </c>
      <c r="F17" s="209" t="s">
        <v>93</v>
      </c>
      <c r="G17" s="235">
        <v>21.56</v>
      </c>
      <c r="H17" s="212">
        <v>67.599999999999994</v>
      </c>
      <c r="I17" s="212">
        <f t="shared" si="0"/>
        <v>87.91</v>
      </c>
      <c r="J17" s="212">
        <f t="shared" si="1"/>
        <v>1895.34</v>
      </c>
      <c r="K17" s="53"/>
      <c r="L17" s="53"/>
      <c r="M17" s="53"/>
    </row>
    <row r="18" spans="1:13" s="162" customFormat="1" ht="25.5" x14ac:dyDescent="0.2">
      <c r="A18" s="266" t="s">
        <v>520</v>
      </c>
      <c r="B18" s="220">
        <v>101617</v>
      </c>
      <c r="C18" s="220" t="s">
        <v>1132</v>
      </c>
      <c r="D18" s="210" t="s">
        <v>32</v>
      </c>
      <c r="E18" s="211" t="s">
        <v>210</v>
      </c>
      <c r="F18" s="209" t="s">
        <v>92</v>
      </c>
      <c r="G18" s="235">
        <v>175.89</v>
      </c>
      <c r="H18" s="212">
        <v>2.44</v>
      </c>
      <c r="I18" s="212">
        <f t="shared" si="0"/>
        <v>3.17</v>
      </c>
      <c r="J18" s="212">
        <f t="shared" si="1"/>
        <v>557.57000000000005</v>
      </c>
      <c r="K18" s="53"/>
      <c r="L18" s="53"/>
      <c r="M18" s="53"/>
    </row>
    <row r="19" spans="1:13" s="162" customFormat="1" ht="25.5" x14ac:dyDescent="0.2">
      <c r="A19" s="266" t="s">
        <v>521</v>
      </c>
      <c r="B19" s="220">
        <v>93382</v>
      </c>
      <c r="C19" s="220" t="s">
        <v>1132</v>
      </c>
      <c r="D19" s="210" t="s">
        <v>32</v>
      </c>
      <c r="E19" s="211" t="s">
        <v>209</v>
      </c>
      <c r="F19" s="209" t="s">
        <v>93</v>
      </c>
      <c r="G19" s="235">
        <v>15.21</v>
      </c>
      <c r="H19" s="212">
        <v>26.36</v>
      </c>
      <c r="I19" s="212">
        <f t="shared" si="0"/>
        <v>34.28</v>
      </c>
      <c r="J19" s="212">
        <f t="shared" si="1"/>
        <v>521.4</v>
      </c>
      <c r="K19" s="53"/>
      <c r="L19" s="53"/>
      <c r="M19" s="53"/>
    </row>
    <row r="20" spans="1:13" s="162" customFormat="1" ht="63.75" x14ac:dyDescent="0.2">
      <c r="A20" s="266" t="s">
        <v>522</v>
      </c>
      <c r="B20" s="220">
        <v>93378</v>
      </c>
      <c r="C20" s="220" t="s">
        <v>1132</v>
      </c>
      <c r="D20" s="210" t="s">
        <v>32</v>
      </c>
      <c r="E20" s="211" t="s">
        <v>189</v>
      </c>
      <c r="F20" s="209" t="s">
        <v>93</v>
      </c>
      <c r="G20" s="235">
        <v>111.92</v>
      </c>
      <c r="H20" s="212">
        <v>19.63</v>
      </c>
      <c r="I20" s="212">
        <f t="shared" si="0"/>
        <v>25.53</v>
      </c>
      <c r="J20" s="212">
        <f t="shared" si="1"/>
        <v>2857.32</v>
      </c>
      <c r="K20" s="53"/>
      <c r="L20" s="53"/>
      <c r="M20" s="53"/>
    </row>
    <row r="21" spans="1:13" s="217" customFormat="1" ht="51" x14ac:dyDescent="0.2">
      <c r="A21" s="266" t="s">
        <v>1130</v>
      </c>
      <c r="B21" s="220">
        <v>87447</v>
      </c>
      <c r="C21" s="220" t="s">
        <v>1132</v>
      </c>
      <c r="D21" s="210" t="s">
        <v>32</v>
      </c>
      <c r="E21" s="211" t="s">
        <v>1131</v>
      </c>
      <c r="F21" s="209" t="s">
        <v>92</v>
      </c>
      <c r="G21" s="235">
        <v>10.4</v>
      </c>
      <c r="H21" s="212">
        <v>62.1</v>
      </c>
      <c r="I21" s="212">
        <f t="shared" si="0"/>
        <v>80.760000000000005</v>
      </c>
      <c r="J21" s="212">
        <f t="shared" si="1"/>
        <v>839.9</v>
      </c>
      <c r="K21" s="53"/>
      <c r="L21" s="53"/>
      <c r="M21" s="53"/>
    </row>
    <row r="22" spans="1:13" s="162" customFormat="1" x14ac:dyDescent="0.2">
      <c r="A22" s="282" t="s">
        <v>523</v>
      </c>
      <c r="B22" s="276"/>
      <c r="C22" s="276"/>
      <c r="D22" s="276"/>
      <c r="E22" s="277" t="s">
        <v>155</v>
      </c>
      <c r="F22" s="276"/>
      <c r="G22" s="278"/>
      <c r="H22" s="279">
        <v>0</v>
      </c>
      <c r="I22" s="280"/>
      <c r="J22" s="280">
        <f>SUBTOTAL(9,J23:J23)</f>
        <v>1172.78</v>
      </c>
      <c r="K22" s="53"/>
      <c r="L22" s="53"/>
      <c r="M22" s="53"/>
    </row>
    <row r="23" spans="1:13" s="162" customFormat="1" ht="25.5" x14ac:dyDescent="0.2">
      <c r="A23" s="266" t="s">
        <v>546</v>
      </c>
      <c r="B23" s="305" t="s">
        <v>1138</v>
      </c>
      <c r="C23" s="220" t="s">
        <v>44</v>
      </c>
      <c r="D23" s="210" t="s">
        <v>32</v>
      </c>
      <c r="E23" s="211" t="s">
        <v>153</v>
      </c>
      <c r="F23" s="209" t="s">
        <v>154</v>
      </c>
      <c r="G23" s="235">
        <v>82.07</v>
      </c>
      <c r="H23" s="212">
        <v>10.99</v>
      </c>
      <c r="I23" s="212">
        <f>ROUND(IF(D23="S",(H23*(1+$I$7)),(H23*(1+$I$8))),2)</f>
        <v>14.29</v>
      </c>
      <c r="J23" s="212">
        <f>ROUND(G23*I23,2)</f>
        <v>1172.78</v>
      </c>
      <c r="K23" s="53"/>
      <c r="L23" s="53"/>
      <c r="M23" s="53"/>
    </row>
    <row r="24" spans="1:13" s="162" customFormat="1" x14ac:dyDescent="0.2">
      <c r="A24" s="282" t="s">
        <v>524</v>
      </c>
      <c r="B24" s="276"/>
      <c r="C24" s="276"/>
      <c r="D24" s="276"/>
      <c r="E24" s="277" t="s">
        <v>186</v>
      </c>
      <c r="F24" s="276"/>
      <c r="G24" s="278"/>
      <c r="H24" s="279">
        <v>0</v>
      </c>
      <c r="I24" s="280"/>
      <c r="J24" s="280">
        <f>SUBTOTAL(9,J25:J39)</f>
        <v>488925.71</v>
      </c>
      <c r="K24" s="53"/>
      <c r="L24" s="53"/>
      <c r="M24" s="53"/>
    </row>
    <row r="25" spans="1:13" s="162" customFormat="1" ht="38.25" x14ac:dyDescent="0.2">
      <c r="A25" s="266" t="s">
        <v>72</v>
      </c>
      <c r="B25" s="220">
        <v>100656</v>
      </c>
      <c r="C25" s="220" t="s">
        <v>1132</v>
      </c>
      <c r="D25" s="210" t="s">
        <v>32</v>
      </c>
      <c r="E25" s="211" t="s">
        <v>211</v>
      </c>
      <c r="F25" s="209" t="s">
        <v>35</v>
      </c>
      <c r="G25" s="235">
        <v>432</v>
      </c>
      <c r="H25" s="212">
        <v>69.91</v>
      </c>
      <c r="I25" s="212">
        <f t="shared" ref="I25:I39" si="2">ROUND(IF(D25="S",(H25*(1+$I$7)),(H25*(1+$I$8))),2)</f>
        <v>90.92</v>
      </c>
      <c r="J25" s="212">
        <f t="shared" ref="J25:J39" si="3">ROUND(G25*I25,2)</f>
        <v>39277.440000000002</v>
      </c>
      <c r="K25" s="56"/>
      <c r="L25" s="58"/>
      <c r="M25" s="53"/>
    </row>
    <row r="26" spans="1:13" s="162" customFormat="1" ht="38.25" x14ac:dyDescent="0.2">
      <c r="A26" s="266" t="s">
        <v>547</v>
      </c>
      <c r="B26" s="220">
        <v>94962</v>
      </c>
      <c r="C26" s="220" t="s">
        <v>1132</v>
      </c>
      <c r="D26" s="210" t="s">
        <v>32</v>
      </c>
      <c r="E26" s="211" t="s">
        <v>193</v>
      </c>
      <c r="F26" s="209" t="s">
        <v>93</v>
      </c>
      <c r="G26" s="235">
        <v>9.0500000000000007</v>
      </c>
      <c r="H26" s="212">
        <v>360.57</v>
      </c>
      <c r="I26" s="212">
        <f t="shared" si="2"/>
        <v>468.92</v>
      </c>
      <c r="J26" s="212">
        <f t="shared" si="3"/>
        <v>4243.7299999999996</v>
      </c>
      <c r="K26" s="56"/>
      <c r="L26" s="58"/>
      <c r="M26" s="53"/>
    </row>
    <row r="27" spans="1:13" s="162" customFormat="1" ht="38.25" x14ac:dyDescent="0.2">
      <c r="A27" s="266" t="s">
        <v>73</v>
      </c>
      <c r="B27" s="220">
        <v>92419</v>
      </c>
      <c r="C27" s="220" t="s">
        <v>1132</v>
      </c>
      <c r="D27" s="210" t="s">
        <v>32</v>
      </c>
      <c r="E27" s="211" t="s">
        <v>212</v>
      </c>
      <c r="F27" s="209" t="s">
        <v>92</v>
      </c>
      <c r="G27" s="235">
        <v>998.19</v>
      </c>
      <c r="H27" s="212">
        <v>73.25</v>
      </c>
      <c r="I27" s="212">
        <f t="shared" si="2"/>
        <v>95.26</v>
      </c>
      <c r="J27" s="212">
        <f t="shared" si="3"/>
        <v>95087.58</v>
      </c>
      <c r="K27" s="56"/>
      <c r="L27" s="58"/>
      <c r="M27" s="53"/>
    </row>
    <row r="28" spans="1:13" s="162" customFormat="1" ht="25.5" x14ac:dyDescent="0.2">
      <c r="A28" s="266" t="s">
        <v>74</v>
      </c>
      <c r="B28" s="220">
        <v>92791</v>
      </c>
      <c r="C28" s="220" t="s">
        <v>1132</v>
      </c>
      <c r="D28" s="210" t="s">
        <v>32</v>
      </c>
      <c r="E28" s="211" t="s">
        <v>213</v>
      </c>
      <c r="F28" s="209" t="s">
        <v>162</v>
      </c>
      <c r="G28" s="235">
        <v>242</v>
      </c>
      <c r="H28" s="212">
        <v>12.05</v>
      </c>
      <c r="I28" s="212">
        <f t="shared" si="2"/>
        <v>15.67</v>
      </c>
      <c r="J28" s="212">
        <f t="shared" si="3"/>
        <v>3792.14</v>
      </c>
      <c r="K28" s="56"/>
      <c r="L28" s="58"/>
      <c r="M28" s="53"/>
    </row>
    <row r="29" spans="1:13" s="162" customFormat="1" ht="25.5" x14ac:dyDescent="0.2">
      <c r="A29" s="266" t="s">
        <v>548</v>
      </c>
      <c r="B29" s="220">
        <v>92792</v>
      </c>
      <c r="C29" s="220" t="s">
        <v>1132</v>
      </c>
      <c r="D29" s="210" t="s">
        <v>32</v>
      </c>
      <c r="E29" s="211" t="s">
        <v>214</v>
      </c>
      <c r="F29" s="209" t="s">
        <v>162</v>
      </c>
      <c r="G29" s="235">
        <v>507.3</v>
      </c>
      <c r="H29" s="212">
        <v>12.39</v>
      </c>
      <c r="I29" s="212">
        <f t="shared" si="2"/>
        <v>16.11</v>
      </c>
      <c r="J29" s="212">
        <f t="shared" si="3"/>
        <v>8172.6</v>
      </c>
      <c r="K29" s="56"/>
      <c r="L29" s="58"/>
      <c r="M29" s="53"/>
    </row>
    <row r="30" spans="1:13" s="162" customFormat="1" ht="25.5" x14ac:dyDescent="0.2">
      <c r="A30" s="266" t="s">
        <v>549</v>
      </c>
      <c r="B30" s="220">
        <v>92793</v>
      </c>
      <c r="C30" s="220" t="s">
        <v>1132</v>
      </c>
      <c r="D30" s="210" t="s">
        <v>32</v>
      </c>
      <c r="E30" s="211" t="s">
        <v>215</v>
      </c>
      <c r="F30" s="209" t="s">
        <v>162</v>
      </c>
      <c r="G30" s="235">
        <v>751.3</v>
      </c>
      <c r="H30" s="212">
        <v>12.44</v>
      </c>
      <c r="I30" s="212">
        <f t="shared" si="2"/>
        <v>16.18</v>
      </c>
      <c r="J30" s="212">
        <f t="shared" si="3"/>
        <v>12156.03</v>
      </c>
      <c r="K30" s="56"/>
      <c r="L30" s="58"/>
      <c r="M30" s="53"/>
    </row>
    <row r="31" spans="1:13" s="162" customFormat="1" ht="25.5" x14ac:dyDescent="0.2">
      <c r="A31" s="266" t="s">
        <v>550</v>
      </c>
      <c r="B31" s="220">
        <v>92802</v>
      </c>
      <c r="C31" s="220" t="s">
        <v>1132</v>
      </c>
      <c r="D31" s="210" t="s">
        <v>32</v>
      </c>
      <c r="E31" s="211" t="s">
        <v>216</v>
      </c>
      <c r="F31" s="209" t="s">
        <v>162</v>
      </c>
      <c r="G31" s="235">
        <v>372.4</v>
      </c>
      <c r="H31" s="212">
        <v>12.29</v>
      </c>
      <c r="I31" s="212">
        <f t="shared" si="2"/>
        <v>15.98</v>
      </c>
      <c r="J31" s="212">
        <f t="shared" si="3"/>
        <v>5950.95</v>
      </c>
      <c r="K31" s="56"/>
      <c r="L31" s="58"/>
      <c r="M31" s="53"/>
    </row>
    <row r="32" spans="1:13" s="162" customFormat="1" ht="25.5" x14ac:dyDescent="0.2">
      <c r="A32" s="266" t="s">
        <v>551</v>
      </c>
      <c r="B32" s="306">
        <v>92794</v>
      </c>
      <c r="C32" s="220" t="s">
        <v>1132</v>
      </c>
      <c r="D32" s="210" t="s">
        <v>32</v>
      </c>
      <c r="E32" s="211" t="s">
        <v>217</v>
      </c>
      <c r="F32" s="209" t="s">
        <v>162</v>
      </c>
      <c r="G32" s="235">
        <v>3823.5</v>
      </c>
      <c r="H32" s="212">
        <v>11.52</v>
      </c>
      <c r="I32" s="212">
        <f t="shared" si="2"/>
        <v>14.98</v>
      </c>
      <c r="J32" s="212">
        <f t="shared" si="3"/>
        <v>57276.03</v>
      </c>
      <c r="K32" s="56"/>
      <c r="L32" s="58"/>
      <c r="M32" s="53"/>
    </row>
    <row r="33" spans="1:13" s="162" customFormat="1" ht="25.5" x14ac:dyDescent="0.2">
      <c r="A33" s="266" t="s">
        <v>552</v>
      </c>
      <c r="B33" s="306">
        <v>92803</v>
      </c>
      <c r="C33" s="220" t="s">
        <v>1132</v>
      </c>
      <c r="D33" s="210" t="s">
        <v>32</v>
      </c>
      <c r="E33" s="211" t="s">
        <v>218</v>
      </c>
      <c r="F33" s="209" t="s">
        <v>162</v>
      </c>
      <c r="G33" s="235">
        <v>121.5</v>
      </c>
      <c r="H33" s="212">
        <v>11.43</v>
      </c>
      <c r="I33" s="212">
        <f t="shared" si="2"/>
        <v>14.86</v>
      </c>
      <c r="J33" s="212">
        <f t="shared" si="3"/>
        <v>1805.49</v>
      </c>
      <c r="K33" s="56"/>
      <c r="L33" s="58"/>
      <c r="M33" s="53"/>
    </row>
    <row r="34" spans="1:13" s="162" customFormat="1" ht="25.5" x14ac:dyDescent="0.2">
      <c r="A34" s="266" t="s">
        <v>553</v>
      </c>
      <c r="B34" s="220">
        <v>92795</v>
      </c>
      <c r="C34" s="220" t="s">
        <v>1132</v>
      </c>
      <c r="D34" s="210" t="s">
        <v>32</v>
      </c>
      <c r="E34" s="211" t="s">
        <v>219</v>
      </c>
      <c r="F34" s="209" t="s">
        <v>162</v>
      </c>
      <c r="G34" s="235">
        <v>2709.6</v>
      </c>
      <c r="H34" s="212">
        <v>9.8800000000000008</v>
      </c>
      <c r="I34" s="212">
        <f t="shared" si="2"/>
        <v>12.85</v>
      </c>
      <c r="J34" s="212">
        <f t="shared" si="3"/>
        <v>34818.36</v>
      </c>
      <c r="K34" s="56"/>
      <c r="L34" s="58"/>
      <c r="M34" s="53"/>
    </row>
    <row r="35" spans="1:13" s="162" customFormat="1" ht="25.5" x14ac:dyDescent="0.2">
      <c r="A35" s="266" t="s">
        <v>554</v>
      </c>
      <c r="B35" s="220">
        <v>92804</v>
      </c>
      <c r="C35" s="220" t="s">
        <v>1132</v>
      </c>
      <c r="D35" s="210" t="s">
        <v>32</v>
      </c>
      <c r="E35" s="211" t="s">
        <v>220</v>
      </c>
      <c r="F35" s="209" t="s">
        <v>162</v>
      </c>
      <c r="G35" s="235">
        <v>355.1</v>
      </c>
      <c r="H35" s="212">
        <v>9.84</v>
      </c>
      <c r="I35" s="212">
        <f t="shared" si="2"/>
        <v>12.8</v>
      </c>
      <c r="J35" s="212">
        <f t="shared" si="3"/>
        <v>4545.28</v>
      </c>
      <c r="K35" s="56"/>
      <c r="L35" s="58"/>
      <c r="M35" s="53"/>
    </row>
    <row r="36" spans="1:13" s="162" customFormat="1" ht="25.5" x14ac:dyDescent="0.2">
      <c r="A36" s="266" t="s">
        <v>555</v>
      </c>
      <c r="B36" s="306">
        <v>92796</v>
      </c>
      <c r="C36" s="220" t="s">
        <v>1132</v>
      </c>
      <c r="D36" s="210" t="s">
        <v>32</v>
      </c>
      <c r="E36" s="211" t="s">
        <v>221</v>
      </c>
      <c r="F36" s="209" t="s">
        <v>162</v>
      </c>
      <c r="G36" s="235">
        <v>3975.5</v>
      </c>
      <c r="H36" s="212">
        <v>9.8000000000000007</v>
      </c>
      <c r="I36" s="212">
        <f t="shared" si="2"/>
        <v>12.74</v>
      </c>
      <c r="J36" s="212">
        <f t="shared" si="3"/>
        <v>50647.87</v>
      </c>
      <c r="K36" s="56"/>
      <c r="L36" s="58"/>
      <c r="M36" s="53"/>
    </row>
    <row r="37" spans="1:13" s="162" customFormat="1" ht="25.5" x14ac:dyDescent="0.2">
      <c r="A37" s="266" t="s">
        <v>556</v>
      </c>
      <c r="B37" s="306">
        <v>50</v>
      </c>
      <c r="C37" s="220" t="s">
        <v>44</v>
      </c>
      <c r="D37" s="210" t="s">
        <v>32</v>
      </c>
      <c r="E37" s="211" t="s">
        <v>690</v>
      </c>
      <c r="F37" s="209" t="s">
        <v>93</v>
      </c>
      <c r="G37" s="235">
        <v>120.01</v>
      </c>
      <c r="H37" s="212">
        <v>660.15</v>
      </c>
      <c r="I37" s="212">
        <f t="shared" si="2"/>
        <v>858.53</v>
      </c>
      <c r="J37" s="212">
        <f t="shared" si="3"/>
        <v>103032.19</v>
      </c>
      <c r="K37" s="56"/>
      <c r="L37" s="58"/>
      <c r="M37" s="53"/>
    </row>
    <row r="38" spans="1:13" s="162" customFormat="1" x14ac:dyDescent="0.2">
      <c r="A38" s="266" t="s">
        <v>557</v>
      </c>
      <c r="B38" s="220">
        <v>122</v>
      </c>
      <c r="C38" s="220" t="s">
        <v>44</v>
      </c>
      <c r="D38" s="210" t="s">
        <v>32</v>
      </c>
      <c r="E38" s="211" t="s">
        <v>727</v>
      </c>
      <c r="F38" s="209" t="s">
        <v>93</v>
      </c>
      <c r="G38" s="235">
        <v>922.28</v>
      </c>
      <c r="H38" s="212">
        <v>48.84</v>
      </c>
      <c r="I38" s="212">
        <f t="shared" si="2"/>
        <v>63.52</v>
      </c>
      <c r="J38" s="212">
        <f t="shared" si="3"/>
        <v>58583.23</v>
      </c>
      <c r="K38" s="56"/>
      <c r="L38" s="58"/>
      <c r="M38" s="53"/>
    </row>
    <row r="39" spans="1:13" s="162" customFormat="1" ht="25.5" x14ac:dyDescent="0.2">
      <c r="A39" s="266" t="s">
        <v>558</v>
      </c>
      <c r="B39" s="220">
        <v>98555</v>
      </c>
      <c r="C39" s="220" t="s">
        <v>1132</v>
      </c>
      <c r="D39" s="210" t="s">
        <v>32</v>
      </c>
      <c r="E39" s="211" t="s">
        <v>223</v>
      </c>
      <c r="F39" s="209" t="s">
        <v>93</v>
      </c>
      <c r="G39" s="235">
        <v>293.52999999999997</v>
      </c>
      <c r="H39" s="212">
        <v>24.98</v>
      </c>
      <c r="I39" s="212">
        <f t="shared" si="2"/>
        <v>32.49</v>
      </c>
      <c r="J39" s="212">
        <f t="shared" si="3"/>
        <v>9536.7900000000009</v>
      </c>
      <c r="K39" s="56"/>
      <c r="L39" s="58"/>
      <c r="M39" s="53"/>
    </row>
    <row r="40" spans="1:13" s="162" customFormat="1" x14ac:dyDescent="0.2">
      <c r="A40" s="282" t="s">
        <v>525</v>
      </c>
      <c r="B40" s="276"/>
      <c r="C40" s="276"/>
      <c r="D40" s="276"/>
      <c r="E40" s="277" t="s">
        <v>235</v>
      </c>
      <c r="F40" s="276"/>
      <c r="G40" s="278"/>
      <c r="H40" s="279">
        <v>0</v>
      </c>
      <c r="I40" s="280"/>
      <c r="J40" s="280">
        <f>SUBTOTAL(9,J41:J49)</f>
        <v>23379.260000000002</v>
      </c>
      <c r="K40" s="56"/>
      <c r="L40" s="58"/>
      <c r="M40" s="53"/>
    </row>
    <row r="41" spans="1:13" s="162" customFormat="1" ht="51" x14ac:dyDescent="0.2">
      <c r="A41" s="266" t="s">
        <v>75</v>
      </c>
      <c r="B41" s="220">
        <v>87473</v>
      </c>
      <c r="C41" s="220" t="s">
        <v>1132</v>
      </c>
      <c r="D41" s="210" t="s">
        <v>32</v>
      </c>
      <c r="E41" s="211" t="s">
        <v>229</v>
      </c>
      <c r="F41" s="209" t="s">
        <v>92</v>
      </c>
      <c r="G41" s="235">
        <v>43.33</v>
      </c>
      <c r="H41" s="212">
        <v>74.89</v>
      </c>
      <c r="I41" s="212">
        <f t="shared" ref="I41:I49" si="4">ROUND(IF(D41="S",(H41*(1+$I$7)),(H41*(1+$I$8))),2)</f>
        <v>97.39</v>
      </c>
      <c r="J41" s="212">
        <f t="shared" ref="J41:J49" si="5">ROUND(G41*I41,2)</f>
        <v>4219.91</v>
      </c>
      <c r="K41" s="53"/>
      <c r="L41" s="53"/>
      <c r="M41" s="53"/>
    </row>
    <row r="42" spans="1:13" s="162" customFormat="1" ht="38.25" x14ac:dyDescent="0.2">
      <c r="A42" s="266" t="s">
        <v>528</v>
      </c>
      <c r="B42" s="306">
        <v>87905</v>
      </c>
      <c r="C42" s="220" t="s">
        <v>1132</v>
      </c>
      <c r="D42" s="210" t="s">
        <v>32</v>
      </c>
      <c r="E42" s="211" t="s">
        <v>230</v>
      </c>
      <c r="F42" s="209" t="s">
        <v>92</v>
      </c>
      <c r="G42" s="235">
        <v>86.66</v>
      </c>
      <c r="H42" s="212">
        <v>7.54</v>
      </c>
      <c r="I42" s="212">
        <f t="shared" si="4"/>
        <v>9.81</v>
      </c>
      <c r="J42" s="212">
        <f t="shared" si="5"/>
        <v>850.13</v>
      </c>
      <c r="K42" s="53"/>
      <c r="L42" s="53"/>
      <c r="M42" s="53"/>
    </row>
    <row r="43" spans="1:13" s="162" customFormat="1" ht="51" x14ac:dyDescent="0.2">
      <c r="A43" s="266" t="s">
        <v>529</v>
      </c>
      <c r="B43" s="306">
        <v>87529</v>
      </c>
      <c r="C43" s="220" t="s">
        <v>1132</v>
      </c>
      <c r="D43" s="210" t="s">
        <v>32</v>
      </c>
      <c r="E43" s="211" t="s">
        <v>231</v>
      </c>
      <c r="F43" s="209" t="s">
        <v>92</v>
      </c>
      <c r="G43" s="235">
        <v>95.78</v>
      </c>
      <c r="H43" s="212">
        <v>38.19</v>
      </c>
      <c r="I43" s="212">
        <f t="shared" si="4"/>
        <v>49.67</v>
      </c>
      <c r="J43" s="212">
        <f t="shared" si="5"/>
        <v>4757.3900000000003</v>
      </c>
      <c r="K43" s="53"/>
      <c r="L43" s="53"/>
      <c r="M43" s="53"/>
    </row>
    <row r="44" spans="1:13" s="163" customFormat="1" ht="63.75" x14ac:dyDescent="0.2">
      <c r="A44" s="266" t="s">
        <v>530</v>
      </c>
      <c r="B44" s="306">
        <v>87527</v>
      </c>
      <c r="C44" s="220" t="s">
        <v>1132</v>
      </c>
      <c r="D44" s="210" t="s">
        <v>32</v>
      </c>
      <c r="E44" s="211" t="s">
        <v>232</v>
      </c>
      <c r="F44" s="209" t="s">
        <v>92</v>
      </c>
      <c r="G44" s="235">
        <v>14.58</v>
      </c>
      <c r="H44" s="212">
        <v>41.21</v>
      </c>
      <c r="I44" s="212">
        <f t="shared" si="4"/>
        <v>53.59</v>
      </c>
      <c r="J44" s="212">
        <f t="shared" si="5"/>
        <v>781.34</v>
      </c>
      <c r="K44" s="53"/>
      <c r="L44" s="53"/>
      <c r="M44" s="53"/>
    </row>
    <row r="45" spans="1:13" s="163" customFormat="1" ht="51" x14ac:dyDescent="0.2">
      <c r="A45" s="266" t="s">
        <v>531</v>
      </c>
      <c r="B45" s="306">
        <v>87264</v>
      </c>
      <c r="C45" s="220" t="s">
        <v>1132</v>
      </c>
      <c r="D45" s="210" t="s">
        <v>32</v>
      </c>
      <c r="E45" s="211" t="s">
        <v>233</v>
      </c>
      <c r="F45" s="209" t="s">
        <v>92</v>
      </c>
      <c r="G45" s="235">
        <v>14.58</v>
      </c>
      <c r="H45" s="212">
        <v>67.13</v>
      </c>
      <c r="I45" s="212">
        <f t="shared" si="4"/>
        <v>87.3</v>
      </c>
      <c r="J45" s="212">
        <f t="shared" si="5"/>
        <v>1272.83</v>
      </c>
      <c r="K45" s="53"/>
      <c r="L45" s="53"/>
      <c r="M45" s="53"/>
    </row>
    <row r="46" spans="1:13" s="163" customFormat="1" ht="25.5" x14ac:dyDescent="0.2">
      <c r="A46" s="266" t="s">
        <v>532</v>
      </c>
      <c r="B46" s="306">
        <v>101749</v>
      </c>
      <c r="C46" s="220" t="s">
        <v>1132</v>
      </c>
      <c r="D46" s="210" t="s">
        <v>32</v>
      </c>
      <c r="E46" s="211" t="s">
        <v>234</v>
      </c>
      <c r="F46" s="209" t="s">
        <v>92</v>
      </c>
      <c r="G46" s="235">
        <v>44.7</v>
      </c>
      <c r="H46" s="212">
        <v>49.35</v>
      </c>
      <c r="I46" s="212">
        <f t="shared" si="4"/>
        <v>64.180000000000007</v>
      </c>
      <c r="J46" s="212">
        <f t="shared" si="5"/>
        <v>2868.85</v>
      </c>
      <c r="K46" s="53"/>
      <c r="L46" s="53"/>
      <c r="M46" s="53"/>
    </row>
    <row r="47" spans="1:13" s="163" customFormat="1" ht="38.25" x14ac:dyDescent="0.2">
      <c r="A47" s="266" t="s">
        <v>533</v>
      </c>
      <c r="B47" s="306">
        <v>87246</v>
      </c>
      <c r="C47" s="220" t="s">
        <v>1132</v>
      </c>
      <c r="D47" s="210" t="s">
        <v>32</v>
      </c>
      <c r="E47" s="211" t="s">
        <v>243</v>
      </c>
      <c r="F47" s="209" t="s">
        <v>92</v>
      </c>
      <c r="G47" s="235">
        <v>6.2</v>
      </c>
      <c r="H47" s="212">
        <v>64.709999999999994</v>
      </c>
      <c r="I47" s="212">
        <f t="shared" si="4"/>
        <v>84.16</v>
      </c>
      <c r="J47" s="212">
        <f t="shared" si="5"/>
        <v>521.79</v>
      </c>
      <c r="K47" s="53"/>
      <c r="L47" s="53"/>
      <c r="M47" s="53"/>
    </row>
    <row r="48" spans="1:13" s="162" customFormat="1" ht="38.25" x14ac:dyDescent="0.2">
      <c r="A48" s="266" t="s">
        <v>534</v>
      </c>
      <c r="B48" s="306">
        <v>92543</v>
      </c>
      <c r="C48" s="220" t="s">
        <v>1132</v>
      </c>
      <c r="D48" s="210" t="s">
        <v>32</v>
      </c>
      <c r="E48" s="211" t="s">
        <v>236</v>
      </c>
      <c r="F48" s="209" t="s">
        <v>92</v>
      </c>
      <c r="G48" s="235">
        <v>69.84</v>
      </c>
      <c r="H48" s="212">
        <v>18.77</v>
      </c>
      <c r="I48" s="212">
        <f t="shared" si="4"/>
        <v>24.41</v>
      </c>
      <c r="J48" s="212">
        <f t="shared" si="5"/>
        <v>1704.79</v>
      </c>
      <c r="K48" s="53"/>
      <c r="L48" s="53"/>
      <c r="M48" s="53"/>
    </row>
    <row r="49" spans="1:13" s="162" customFormat="1" ht="51" x14ac:dyDescent="0.2">
      <c r="A49" s="266" t="s">
        <v>535</v>
      </c>
      <c r="B49" s="306">
        <v>94210</v>
      </c>
      <c r="C49" s="220" t="s">
        <v>1132</v>
      </c>
      <c r="D49" s="210" t="s">
        <v>32</v>
      </c>
      <c r="E49" s="211" t="s">
        <v>237</v>
      </c>
      <c r="F49" s="209" t="s">
        <v>92</v>
      </c>
      <c r="G49" s="235">
        <v>69.84</v>
      </c>
      <c r="H49" s="212">
        <v>70.489999999999995</v>
      </c>
      <c r="I49" s="212">
        <f t="shared" si="4"/>
        <v>91.67</v>
      </c>
      <c r="J49" s="212">
        <f t="shared" si="5"/>
        <v>6402.23</v>
      </c>
      <c r="K49" s="53"/>
      <c r="L49" s="53"/>
      <c r="M49" s="53"/>
    </row>
    <row r="50" spans="1:13" s="162" customFormat="1" x14ac:dyDescent="0.2">
      <c r="A50" s="282" t="s">
        <v>526</v>
      </c>
      <c r="B50" s="276"/>
      <c r="C50" s="276"/>
      <c r="D50" s="276"/>
      <c r="E50" s="277" t="s">
        <v>71</v>
      </c>
      <c r="F50" s="276"/>
      <c r="G50" s="278"/>
      <c r="H50" s="279">
        <v>0</v>
      </c>
      <c r="I50" s="280"/>
      <c r="J50" s="280">
        <f>SUBTOTAL(9,J51:J58)</f>
        <v>19327.13</v>
      </c>
      <c r="K50" s="53"/>
      <c r="L50" s="53"/>
      <c r="M50" s="53"/>
    </row>
    <row r="51" spans="1:13" ht="25.5" x14ac:dyDescent="0.2">
      <c r="A51" s="266" t="s">
        <v>76</v>
      </c>
      <c r="B51" s="220">
        <v>6243</v>
      </c>
      <c r="C51" s="220" t="s">
        <v>1132</v>
      </c>
      <c r="D51" s="210" t="s">
        <v>49</v>
      </c>
      <c r="E51" s="211" t="s">
        <v>238</v>
      </c>
      <c r="F51" s="209" t="s">
        <v>45</v>
      </c>
      <c r="G51" s="235">
        <v>2</v>
      </c>
      <c r="H51" s="212">
        <v>600</v>
      </c>
      <c r="I51" s="212">
        <f t="shared" ref="I51:I58" si="6">ROUND(IF(D51="S",(H51*(1+$I$7)),(H51*(1+$I$8))),2)</f>
        <v>700.02</v>
      </c>
      <c r="J51" s="212">
        <f t="shared" ref="J51:J58" si="7">ROUND(G51*I51,2)</f>
        <v>1400.04</v>
      </c>
      <c r="K51" s="56"/>
      <c r="L51" s="58"/>
      <c r="M51" s="58"/>
    </row>
    <row r="52" spans="1:13" ht="25.5" x14ac:dyDescent="0.2">
      <c r="A52" s="266" t="s">
        <v>77</v>
      </c>
      <c r="B52" s="220">
        <v>100701</v>
      </c>
      <c r="C52" s="220" t="s">
        <v>1132</v>
      </c>
      <c r="D52" s="210" t="s">
        <v>32</v>
      </c>
      <c r="E52" s="211" t="s">
        <v>239</v>
      </c>
      <c r="F52" s="209" t="s">
        <v>92</v>
      </c>
      <c r="G52" s="235">
        <v>4.18</v>
      </c>
      <c r="H52" s="212">
        <v>563.37</v>
      </c>
      <c r="I52" s="212">
        <f t="shared" si="6"/>
        <v>732.66</v>
      </c>
      <c r="J52" s="212">
        <f t="shared" si="7"/>
        <v>3062.52</v>
      </c>
      <c r="K52" s="56"/>
      <c r="L52" s="58"/>
      <c r="M52" s="58"/>
    </row>
    <row r="53" spans="1:13" s="163" customFormat="1" ht="38.25" x14ac:dyDescent="0.2">
      <c r="A53" s="266" t="s">
        <v>537</v>
      </c>
      <c r="B53" s="220">
        <v>37562</v>
      </c>
      <c r="C53" s="220" t="s">
        <v>1132</v>
      </c>
      <c r="D53" s="210" t="s">
        <v>49</v>
      </c>
      <c r="E53" s="211" t="s">
        <v>240</v>
      </c>
      <c r="F53" s="209" t="s">
        <v>92</v>
      </c>
      <c r="G53" s="235">
        <v>7.2</v>
      </c>
      <c r="H53" s="212">
        <v>634.17999999999995</v>
      </c>
      <c r="I53" s="212">
        <f t="shared" si="6"/>
        <v>739.9</v>
      </c>
      <c r="J53" s="212">
        <f t="shared" si="7"/>
        <v>5327.28</v>
      </c>
      <c r="K53" s="56"/>
      <c r="L53" s="58"/>
      <c r="M53" s="58"/>
    </row>
    <row r="54" spans="1:13" s="164" customFormat="1" ht="51" x14ac:dyDescent="0.2">
      <c r="A54" s="266" t="s">
        <v>538</v>
      </c>
      <c r="B54" s="306">
        <v>94559</v>
      </c>
      <c r="C54" s="220" t="s">
        <v>1132</v>
      </c>
      <c r="D54" s="210" t="s">
        <v>32</v>
      </c>
      <c r="E54" s="211" t="s">
        <v>245</v>
      </c>
      <c r="F54" s="209" t="s">
        <v>92</v>
      </c>
      <c r="G54" s="235">
        <v>4.68</v>
      </c>
      <c r="H54" s="212">
        <v>786.18</v>
      </c>
      <c r="I54" s="212">
        <f t="shared" si="6"/>
        <v>1022.43</v>
      </c>
      <c r="J54" s="212">
        <f t="shared" si="7"/>
        <v>4784.97</v>
      </c>
      <c r="K54" s="56"/>
      <c r="L54" s="58"/>
      <c r="M54" s="58"/>
    </row>
    <row r="55" spans="1:13" s="163" customFormat="1" ht="25.5" x14ac:dyDescent="0.2">
      <c r="A55" s="266" t="s">
        <v>539</v>
      </c>
      <c r="B55" s="220">
        <v>86888</v>
      </c>
      <c r="C55" s="220" t="s">
        <v>1132</v>
      </c>
      <c r="D55" s="210" t="s">
        <v>32</v>
      </c>
      <c r="E55" s="211" t="s">
        <v>241</v>
      </c>
      <c r="F55" s="209" t="s">
        <v>45</v>
      </c>
      <c r="G55" s="235">
        <v>1</v>
      </c>
      <c r="H55" s="212">
        <v>361.44</v>
      </c>
      <c r="I55" s="212">
        <f t="shared" si="6"/>
        <v>470.05</v>
      </c>
      <c r="J55" s="212">
        <f t="shared" si="7"/>
        <v>470.05</v>
      </c>
      <c r="K55" s="56"/>
      <c r="L55" s="58"/>
      <c r="M55" s="58"/>
    </row>
    <row r="56" spans="1:13" s="163" customFormat="1" ht="25.5" x14ac:dyDescent="0.2">
      <c r="A56" s="266" t="s">
        <v>540</v>
      </c>
      <c r="B56" s="306">
        <v>86903</v>
      </c>
      <c r="C56" s="220" t="s">
        <v>1132</v>
      </c>
      <c r="D56" s="210" t="s">
        <v>32</v>
      </c>
      <c r="E56" s="211" t="s">
        <v>242</v>
      </c>
      <c r="F56" s="209" t="s">
        <v>45</v>
      </c>
      <c r="G56" s="235">
        <v>1</v>
      </c>
      <c r="H56" s="212">
        <v>263.49</v>
      </c>
      <c r="I56" s="212">
        <f t="shared" si="6"/>
        <v>342.67</v>
      </c>
      <c r="J56" s="212">
        <f t="shared" si="7"/>
        <v>342.67</v>
      </c>
      <c r="K56" s="56"/>
      <c r="L56" s="58"/>
      <c r="M56" s="58"/>
    </row>
    <row r="57" spans="1:13" s="163" customFormat="1" ht="51" x14ac:dyDescent="0.2">
      <c r="A57" s="266" t="s">
        <v>541</v>
      </c>
      <c r="B57" s="306">
        <v>91795</v>
      </c>
      <c r="C57" s="220" t="s">
        <v>1132</v>
      </c>
      <c r="D57" s="210" t="s">
        <v>32</v>
      </c>
      <c r="E57" s="211" t="s">
        <v>244</v>
      </c>
      <c r="F57" s="209" t="s">
        <v>35</v>
      </c>
      <c r="G57" s="235">
        <v>30</v>
      </c>
      <c r="H57" s="212">
        <v>64.14</v>
      </c>
      <c r="I57" s="212">
        <f t="shared" si="6"/>
        <v>83.41</v>
      </c>
      <c r="J57" s="212">
        <f t="shared" si="7"/>
        <v>2502.3000000000002</v>
      </c>
      <c r="K57" s="56"/>
      <c r="L57" s="58"/>
      <c r="M57" s="58"/>
    </row>
    <row r="58" spans="1:13" s="163" customFormat="1" ht="63.75" x14ac:dyDescent="0.2">
      <c r="A58" s="266" t="s">
        <v>542</v>
      </c>
      <c r="B58" s="306">
        <v>91784</v>
      </c>
      <c r="C58" s="220" t="s">
        <v>1132</v>
      </c>
      <c r="D58" s="210" t="s">
        <v>32</v>
      </c>
      <c r="E58" s="211" t="s">
        <v>246</v>
      </c>
      <c r="F58" s="209" t="s">
        <v>35</v>
      </c>
      <c r="G58" s="235">
        <v>30</v>
      </c>
      <c r="H58" s="212">
        <v>36.840000000000003</v>
      </c>
      <c r="I58" s="212">
        <f t="shared" si="6"/>
        <v>47.91</v>
      </c>
      <c r="J58" s="212">
        <f t="shared" si="7"/>
        <v>1437.3</v>
      </c>
      <c r="K58" s="56"/>
      <c r="L58" s="58"/>
      <c r="M58" s="58"/>
    </row>
    <row r="59" spans="1:13" s="165" customFormat="1" x14ac:dyDescent="0.2">
      <c r="A59" s="282" t="s">
        <v>78</v>
      </c>
      <c r="B59" s="276"/>
      <c r="C59" s="276"/>
      <c r="D59" s="276"/>
      <c r="E59" s="277" t="s">
        <v>577</v>
      </c>
      <c r="F59" s="276"/>
      <c r="G59" s="278"/>
      <c r="H59" s="279">
        <v>0</v>
      </c>
      <c r="I59" s="280"/>
      <c r="J59" s="280">
        <f>SUBTOTAL(9,J60:J82)</f>
        <v>29026.179999999997</v>
      </c>
      <c r="K59" s="56"/>
      <c r="L59" s="58"/>
      <c r="M59" s="58"/>
    </row>
    <row r="60" spans="1:13" s="164" customFormat="1" x14ac:dyDescent="0.2">
      <c r="A60" s="282" t="s">
        <v>79</v>
      </c>
      <c r="B60" s="276"/>
      <c r="C60" s="276"/>
      <c r="D60" s="276"/>
      <c r="E60" s="277" t="s">
        <v>668</v>
      </c>
      <c r="F60" s="276"/>
      <c r="G60" s="278"/>
      <c r="H60" s="279">
        <v>0</v>
      </c>
      <c r="I60" s="280"/>
      <c r="J60" s="280">
        <f>SUBTOTAL(9,J61:J74)</f>
        <v>27301.769999999997</v>
      </c>
      <c r="K60" s="56"/>
      <c r="L60" s="58"/>
      <c r="M60" s="58"/>
    </row>
    <row r="61" spans="1:13" s="190" customFormat="1" x14ac:dyDescent="0.2">
      <c r="A61" s="287"/>
      <c r="B61" s="288"/>
      <c r="C61" s="288"/>
      <c r="D61" s="289"/>
      <c r="E61" s="290" t="s">
        <v>255</v>
      </c>
      <c r="F61" s="291"/>
      <c r="G61" s="292"/>
      <c r="H61" s="293">
        <v>0</v>
      </c>
      <c r="I61" s="293">
        <f t="shared" ref="I61:I74" si="8">ROUND(IF(D61="S",(H61*(1+$I$7)),(H61*(1+$I$8))),2)</f>
        <v>0</v>
      </c>
      <c r="J61" s="293">
        <f t="shared" ref="J61:J74" si="9">ROUND(G61*I61,2)</f>
        <v>0</v>
      </c>
      <c r="K61" s="188"/>
      <c r="L61" s="189"/>
      <c r="M61" s="189"/>
    </row>
    <row r="62" spans="1:13" x14ac:dyDescent="0.2">
      <c r="A62" s="266" t="s">
        <v>80</v>
      </c>
      <c r="B62" s="220" t="s">
        <v>1128</v>
      </c>
      <c r="C62" s="220" t="s">
        <v>57</v>
      </c>
      <c r="D62" s="210" t="s">
        <v>49</v>
      </c>
      <c r="E62" s="211" t="s">
        <v>247</v>
      </c>
      <c r="F62" s="209" t="s">
        <v>158</v>
      </c>
      <c r="G62" s="235">
        <v>1</v>
      </c>
      <c r="H62" s="212">
        <v>1420.3</v>
      </c>
      <c r="I62" s="212">
        <f t="shared" si="8"/>
        <v>1657.06</v>
      </c>
      <c r="J62" s="212">
        <f t="shared" si="9"/>
        <v>1657.06</v>
      </c>
      <c r="K62" s="56"/>
      <c r="L62" s="58"/>
      <c r="M62" s="58"/>
    </row>
    <row r="63" spans="1:13" ht="51" x14ac:dyDescent="0.2">
      <c r="A63" s="266" t="s">
        <v>81</v>
      </c>
      <c r="B63" s="220" t="s">
        <v>1111</v>
      </c>
      <c r="C63" s="220" t="s">
        <v>57</v>
      </c>
      <c r="D63" s="210" t="s">
        <v>49</v>
      </c>
      <c r="E63" s="211" t="s">
        <v>249</v>
      </c>
      <c r="F63" s="209" t="s">
        <v>45</v>
      </c>
      <c r="G63" s="235">
        <v>1</v>
      </c>
      <c r="H63" s="212">
        <v>2919.8</v>
      </c>
      <c r="I63" s="212">
        <f t="shared" si="8"/>
        <v>3406.53</v>
      </c>
      <c r="J63" s="212">
        <f t="shared" si="9"/>
        <v>3406.53</v>
      </c>
      <c r="K63" s="56"/>
      <c r="L63" s="58"/>
      <c r="M63" s="58"/>
    </row>
    <row r="64" spans="1:13" x14ac:dyDescent="0.2">
      <c r="A64" s="266" t="s">
        <v>82</v>
      </c>
      <c r="B64" s="220" t="s">
        <v>1129</v>
      </c>
      <c r="C64" s="220" t="s">
        <v>57</v>
      </c>
      <c r="D64" s="210" t="s">
        <v>49</v>
      </c>
      <c r="E64" s="211" t="s">
        <v>250</v>
      </c>
      <c r="F64" s="209" t="s">
        <v>158</v>
      </c>
      <c r="G64" s="235">
        <v>1</v>
      </c>
      <c r="H64" s="212">
        <v>2025.53</v>
      </c>
      <c r="I64" s="212">
        <f t="shared" si="8"/>
        <v>2363.19</v>
      </c>
      <c r="J64" s="212">
        <f t="shared" si="9"/>
        <v>2363.19</v>
      </c>
      <c r="K64" s="56"/>
      <c r="L64" s="58"/>
      <c r="M64" s="58"/>
    </row>
    <row r="65" spans="1:13" s="164" customFormat="1" ht="51" x14ac:dyDescent="0.2">
      <c r="A65" s="266" t="s">
        <v>83</v>
      </c>
      <c r="B65" s="220" t="s">
        <v>1112</v>
      </c>
      <c r="C65" s="220" t="s">
        <v>57</v>
      </c>
      <c r="D65" s="210" t="s">
        <v>49</v>
      </c>
      <c r="E65" s="211" t="s">
        <v>251</v>
      </c>
      <c r="F65" s="209" t="s">
        <v>45</v>
      </c>
      <c r="G65" s="235">
        <v>1</v>
      </c>
      <c r="H65" s="212">
        <v>1184.83</v>
      </c>
      <c r="I65" s="212">
        <f t="shared" si="8"/>
        <v>1382.34</v>
      </c>
      <c r="J65" s="212">
        <f t="shared" si="9"/>
        <v>1382.34</v>
      </c>
      <c r="K65" s="56"/>
      <c r="L65" s="58"/>
      <c r="M65" s="58"/>
    </row>
    <row r="66" spans="1:13" s="190" customFormat="1" x14ac:dyDescent="0.2">
      <c r="A66" s="287"/>
      <c r="B66" s="288"/>
      <c r="C66" s="288"/>
      <c r="D66" s="289"/>
      <c r="E66" s="290" t="s">
        <v>253</v>
      </c>
      <c r="F66" s="291"/>
      <c r="G66" s="292"/>
      <c r="H66" s="293">
        <v>0</v>
      </c>
      <c r="I66" s="293">
        <f t="shared" si="8"/>
        <v>0</v>
      </c>
      <c r="J66" s="293">
        <f t="shared" si="9"/>
        <v>0</v>
      </c>
      <c r="K66" s="188"/>
      <c r="L66" s="189"/>
      <c r="M66" s="189"/>
    </row>
    <row r="67" spans="1:13" s="164" customFormat="1" ht="25.5" x14ac:dyDescent="0.2">
      <c r="A67" s="266" t="s">
        <v>84</v>
      </c>
      <c r="B67" s="220" t="s">
        <v>811</v>
      </c>
      <c r="C67" s="220" t="s">
        <v>57</v>
      </c>
      <c r="D67" s="210" t="s">
        <v>49</v>
      </c>
      <c r="E67" s="211" t="s">
        <v>252</v>
      </c>
      <c r="F67" s="209" t="s">
        <v>158</v>
      </c>
      <c r="G67" s="235">
        <v>1</v>
      </c>
      <c r="H67" s="212">
        <v>1746.72</v>
      </c>
      <c r="I67" s="212">
        <f t="shared" si="8"/>
        <v>2037.9</v>
      </c>
      <c r="J67" s="212">
        <f t="shared" si="9"/>
        <v>2037.9</v>
      </c>
      <c r="K67" s="56"/>
      <c r="L67" s="58"/>
      <c r="M67" s="58"/>
    </row>
    <row r="68" spans="1:13" s="164" customFormat="1" x14ac:dyDescent="0.2">
      <c r="A68" s="266" t="s">
        <v>85</v>
      </c>
      <c r="B68" s="220" t="s">
        <v>798</v>
      </c>
      <c r="C68" s="220" t="s">
        <v>57</v>
      </c>
      <c r="D68" s="210" t="s">
        <v>49</v>
      </c>
      <c r="E68" s="211" t="s">
        <v>250</v>
      </c>
      <c r="F68" s="209" t="s">
        <v>158</v>
      </c>
      <c r="G68" s="235">
        <v>1</v>
      </c>
      <c r="H68" s="212">
        <v>2025.53</v>
      </c>
      <c r="I68" s="212">
        <f t="shared" si="8"/>
        <v>2363.19</v>
      </c>
      <c r="J68" s="212">
        <f t="shared" si="9"/>
        <v>2363.19</v>
      </c>
      <c r="K68" s="56"/>
      <c r="L68" s="58"/>
      <c r="M68" s="58"/>
    </row>
    <row r="69" spans="1:13" s="190" customFormat="1" x14ac:dyDescent="0.2">
      <c r="A69" s="287"/>
      <c r="B69" s="288"/>
      <c r="C69" s="288"/>
      <c r="D69" s="289"/>
      <c r="E69" s="290" t="s">
        <v>256</v>
      </c>
      <c r="F69" s="291"/>
      <c r="G69" s="292"/>
      <c r="H69" s="293">
        <v>0</v>
      </c>
      <c r="I69" s="293">
        <f t="shared" si="8"/>
        <v>0</v>
      </c>
      <c r="J69" s="293">
        <f t="shared" si="9"/>
        <v>0</v>
      </c>
      <c r="K69" s="188"/>
      <c r="L69" s="189"/>
      <c r="M69" s="189"/>
    </row>
    <row r="70" spans="1:13" s="164" customFormat="1" ht="25.5" x14ac:dyDescent="0.2">
      <c r="A70" s="266" t="s">
        <v>86</v>
      </c>
      <c r="B70" s="220" t="s">
        <v>812</v>
      </c>
      <c r="C70" s="220" t="s">
        <v>57</v>
      </c>
      <c r="D70" s="210" t="s">
        <v>49</v>
      </c>
      <c r="E70" s="211" t="s">
        <v>257</v>
      </c>
      <c r="F70" s="209" t="s">
        <v>158</v>
      </c>
      <c r="G70" s="235">
        <v>1</v>
      </c>
      <c r="H70" s="212">
        <v>831.39</v>
      </c>
      <c r="I70" s="212">
        <f t="shared" si="8"/>
        <v>969.98</v>
      </c>
      <c r="J70" s="212">
        <f t="shared" si="9"/>
        <v>969.98</v>
      </c>
      <c r="K70" s="56"/>
      <c r="L70" s="58"/>
      <c r="M70" s="58"/>
    </row>
    <row r="71" spans="1:13" s="164" customFormat="1" x14ac:dyDescent="0.2">
      <c r="A71" s="266" t="s">
        <v>87</v>
      </c>
      <c r="B71" s="220" t="s">
        <v>813</v>
      </c>
      <c r="C71" s="220" t="s">
        <v>57</v>
      </c>
      <c r="D71" s="210" t="s">
        <v>49</v>
      </c>
      <c r="E71" s="211" t="s">
        <v>258</v>
      </c>
      <c r="F71" s="209" t="s">
        <v>158</v>
      </c>
      <c r="G71" s="235">
        <v>1</v>
      </c>
      <c r="H71" s="212">
        <v>704.81</v>
      </c>
      <c r="I71" s="212">
        <f t="shared" si="8"/>
        <v>822.3</v>
      </c>
      <c r="J71" s="212">
        <f t="shared" si="9"/>
        <v>822.3</v>
      </c>
      <c r="K71" s="56"/>
      <c r="L71" s="58"/>
      <c r="M71" s="58"/>
    </row>
    <row r="72" spans="1:13" s="190" customFormat="1" x14ac:dyDescent="0.2">
      <c r="A72" s="287"/>
      <c r="B72" s="288"/>
      <c r="C72" s="288"/>
      <c r="D72" s="289"/>
      <c r="E72" s="290" t="s">
        <v>254</v>
      </c>
      <c r="F72" s="291"/>
      <c r="G72" s="292"/>
      <c r="H72" s="293">
        <v>0</v>
      </c>
      <c r="I72" s="293">
        <f t="shared" si="8"/>
        <v>0</v>
      </c>
      <c r="J72" s="293">
        <f t="shared" si="9"/>
        <v>0</v>
      </c>
      <c r="K72" s="188"/>
      <c r="L72" s="189"/>
      <c r="M72" s="189"/>
    </row>
    <row r="73" spans="1:13" s="164" customFormat="1" ht="25.5" x14ac:dyDescent="0.2">
      <c r="A73" s="266" t="s">
        <v>88</v>
      </c>
      <c r="B73" s="220" t="s">
        <v>814</v>
      </c>
      <c r="C73" s="220" t="s">
        <v>57</v>
      </c>
      <c r="D73" s="210" t="s">
        <v>49</v>
      </c>
      <c r="E73" s="211" t="s">
        <v>259</v>
      </c>
      <c r="F73" s="209" t="s">
        <v>158</v>
      </c>
      <c r="G73" s="235">
        <v>6</v>
      </c>
      <c r="H73" s="212">
        <v>742.13</v>
      </c>
      <c r="I73" s="212">
        <f t="shared" si="8"/>
        <v>865.84</v>
      </c>
      <c r="J73" s="212">
        <f t="shared" si="9"/>
        <v>5195.04</v>
      </c>
      <c r="K73" s="56"/>
      <c r="L73" s="58"/>
      <c r="M73" s="58"/>
    </row>
    <row r="74" spans="1:13" s="164" customFormat="1" x14ac:dyDescent="0.2">
      <c r="A74" s="266" t="s">
        <v>89</v>
      </c>
      <c r="B74" s="220" t="s">
        <v>780</v>
      </c>
      <c r="C74" s="220" t="s">
        <v>57</v>
      </c>
      <c r="D74" s="210" t="s">
        <v>49</v>
      </c>
      <c r="E74" s="211" t="s">
        <v>260</v>
      </c>
      <c r="F74" s="209" t="s">
        <v>158</v>
      </c>
      <c r="G74" s="235">
        <v>12</v>
      </c>
      <c r="H74" s="212">
        <v>507.43</v>
      </c>
      <c r="I74" s="212">
        <f t="shared" si="8"/>
        <v>592.02</v>
      </c>
      <c r="J74" s="212">
        <f t="shared" si="9"/>
        <v>7104.24</v>
      </c>
      <c r="K74" s="56"/>
      <c r="L74" s="58"/>
      <c r="M74" s="58"/>
    </row>
    <row r="75" spans="1:13" s="164" customFormat="1" x14ac:dyDescent="0.2">
      <c r="A75" s="282" t="s">
        <v>90</v>
      </c>
      <c r="B75" s="276"/>
      <c r="C75" s="276"/>
      <c r="D75" s="276"/>
      <c r="E75" s="277" t="s">
        <v>261</v>
      </c>
      <c r="F75" s="276"/>
      <c r="G75" s="278"/>
      <c r="H75" s="279">
        <v>0</v>
      </c>
      <c r="I75" s="280"/>
      <c r="J75" s="280">
        <f>SUBTOTAL(9,J76:J82)</f>
        <v>1724.4099999999999</v>
      </c>
      <c r="K75" s="56"/>
      <c r="L75" s="58"/>
      <c r="M75" s="58"/>
    </row>
    <row r="76" spans="1:13" s="196" customFormat="1" ht="38.25" x14ac:dyDescent="0.2">
      <c r="A76" s="266" t="s">
        <v>578</v>
      </c>
      <c r="B76" s="220" t="s">
        <v>946</v>
      </c>
      <c r="C76" s="220" t="s">
        <v>44</v>
      </c>
      <c r="D76" s="210" t="s">
        <v>32</v>
      </c>
      <c r="E76" s="211" t="s">
        <v>988</v>
      </c>
      <c r="F76" s="209" t="s">
        <v>45</v>
      </c>
      <c r="G76" s="235">
        <v>12</v>
      </c>
      <c r="H76" s="212">
        <v>41.27</v>
      </c>
      <c r="I76" s="212">
        <f t="shared" ref="I76:I82" si="10">ROUND(IF(D76="S",(H76*(1+$I$7)),(H76*(1+$I$8))),2)</f>
        <v>53.67</v>
      </c>
      <c r="J76" s="212">
        <f t="shared" ref="J76:J82" si="11">ROUND(G76*I76,2)</f>
        <v>644.04</v>
      </c>
      <c r="K76" s="194"/>
      <c r="L76" s="195"/>
      <c r="M76" s="195"/>
    </row>
    <row r="77" spans="1:13" s="196" customFormat="1" ht="38.25" x14ac:dyDescent="0.2">
      <c r="A77" s="266" t="s">
        <v>579</v>
      </c>
      <c r="B77" s="220" t="s">
        <v>982</v>
      </c>
      <c r="C77" s="220" t="s">
        <v>44</v>
      </c>
      <c r="D77" s="210" t="s">
        <v>32</v>
      </c>
      <c r="E77" s="211" t="s">
        <v>983</v>
      </c>
      <c r="F77" s="209" t="s">
        <v>45</v>
      </c>
      <c r="G77" s="235">
        <v>1</v>
      </c>
      <c r="H77" s="212">
        <v>58.17</v>
      </c>
      <c r="I77" s="212">
        <f t="shared" si="10"/>
        <v>75.650000000000006</v>
      </c>
      <c r="J77" s="212">
        <f t="shared" si="11"/>
        <v>75.650000000000006</v>
      </c>
      <c r="K77" s="194"/>
      <c r="L77" s="195"/>
      <c r="M77" s="195"/>
    </row>
    <row r="78" spans="1:13" s="192" customFormat="1" ht="38.25" x14ac:dyDescent="0.2">
      <c r="A78" s="266" t="s">
        <v>580</v>
      </c>
      <c r="B78" s="220" t="s">
        <v>972</v>
      </c>
      <c r="C78" s="220" t="s">
        <v>44</v>
      </c>
      <c r="D78" s="210" t="s">
        <v>32</v>
      </c>
      <c r="E78" s="211" t="s">
        <v>989</v>
      </c>
      <c r="F78" s="209" t="s">
        <v>45</v>
      </c>
      <c r="G78" s="235">
        <v>3</v>
      </c>
      <c r="H78" s="212">
        <v>140.62</v>
      </c>
      <c r="I78" s="212">
        <f t="shared" si="10"/>
        <v>182.88</v>
      </c>
      <c r="J78" s="212">
        <f t="shared" si="11"/>
        <v>548.64</v>
      </c>
      <c r="K78" s="56"/>
      <c r="L78" s="58"/>
      <c r="M78" s="58"/>
    </row>
    <row r="79" spans="1:13" s="192" customFormat="1" ht="38.25" x14ac:dyDescent="0.2">
      <c r="A79" s="266" t="s">
        <v>581</v>
      </c>
      <c r="B79" s="220" t="s">
        <v>990</v>
      </c>
      <c r="C79" s="220" t="s">
        <v>44</v>
      </c>
      <c r="D79" s="210" t="s">
        <v>32</v>
      </c>
      <c r="E79" s="211" t="s">
        <v>995</v>
      </c>
      <c r="F79" s="209" t="s">
        <v>45</v>
      </c>
      <c r="G79" s="235">
        <v>6</v>
      </c>
      <c r="H79" s="212">
        <v>26.95</v>
      </c>
      <c r="I79" s="212">
        <f t="shared" si="10"/>
        <v>35.049999999999997</v>
      </c>
      <c r="J79" s="212">
        <f t="shared" si="11"/>
        <v>210.3</v>
      </c>
      <c r="K79" s="56"/>
      <c r="L79" s="58"/>
      <c r="M79" s="58"/>
    </row>
    <row r="80" spans="1:13" s="192" customFormat="1" ht="38.25" x14ac:dyDescent="0.2">
      <c r="A80" s="266" t="s">
        <v>582</v>
      </c>
      <c r="B80" s="220" t="s">
        <v>991</v>
      </c>
      <c r="C80" s="220" t="s">
        <v>44</v>
      </c>
      <c r="D80" s="210" t="s">
        <v>32</v>
      </c>
      <c r="E80" s="211" t="s">
        <v>992</v>
      </c>
      <c r="F80" s="209" t="s">
        <v>45</v>
      </c>
      <c r="G80" s="235">
        <v>1</v>
      </c>
      <c r="H80" s="212">
        <v>35.409999999999997</v>
      </c>
      <c r="I80" s="212">
        <f t="shared" si="10"/>
        <v>46.05</v>
      </c>
      <c r="J80" s="212">
        <f t="shared" si="11"/>
        <v>46.05</v>
      </c>
      <c r="K80" s="56"/>
      <c r="L80" s="58"/>
      <c r="M80" s="58"/>
    </row>
    <row r="81" spans="1:13" s="192" customFormat="1" ht="38.25" x14ac:dyDescent="0.2">
      <c r="A81" s="266" t="s">
        <v>583</v>
      </c>
      <c r="B81" s="220" t="s">
        <v>993</v>
      </c>
      <c r="C81" s="220" t="s">
        <v>44</v>
      </c>
      <c r="D81" s="210" t="s">
        <v>32</v>
      </c>
      <c r="E81" s="211" t="s">
        <v>994</v>
      </c>
      <c r="F81" s="209" t="s">
        <v>45</v>
      </c>
      <c r="G81" s="235">
        <v>1</v>
      </c>
      <c r="H81" s="212">
        <v>68.19</v>
      </c>
      <c r="I81" s="212">
        <f t="shared" si="10"/>
        <v>88.68</v>
      </c>
      <c r="J81" s="212">
        <f t="shared" si="11"/>
        <v>88.68</v>
      </c>
      <c r="K81" s="56"/>
      <c r="L81" s="58"/>
      <c r="M81" s="58"/>
    </row>
    <row r="82" spans="1:13" s="192" customFormat="1" ht="25.5" x14ac:dyDescent="0.2">
      <c r="A82" s="266" t="s">
        <v>584</v>
      </c>
      <c r="B82" s="220" t="s">
        <v>974</v>
      </c>
      <c r="C82" s="220" t="s">
        <v>44</v>
      </c>
      <c r="D82" s="210" t="s">
        <v>32</v>
      </c>
      <c r="E82" s="211" t="s">
        <v>975</v>
      </c>
      <c r="F82" s="209" t="s">
        <v>35</v>
      </c>
      <c r="G82" s="235">
        <v>2.7</v>
      </c>
      <c r="H82" s="212">
        <v>31.63</v>
      </c>
      <c r="I82" s="212">
        <f t="shared" si="10"/>
        <v>41.13</v>
      </c>
      <c r="J82" s="212">
        <f t="shared" si="11"/>
        <v>111.05</v>
      </c>
      <c r="K82" s="56"/>
      <c r="L82" s="58"/>
      <c r="M82" s="58"/>
    </row>
    <row r="83" spans="1:13" s="164" customFormat="1" x14ac:dyDescent="0.2">
      <c r="A83" s="282" t="s">
        <v>224</v>
      </c>
      <c r="B83" s="276"/>
      <c r="C83" s="276"/>
      <c r="D83" s="276"/>
      <c r="E83" s="277" t="s">
        <v>585</v>
      </c>
      <c r="F83" s="276"/>
      <c r="G83" s="278"/>
      <c r="H83" s="279">
        <v>0</v>
      </c>
      <c r="I83" s="280"/>
      <c r="J83" s="280">
        <f>SUBTOTAL(9,J84:J120)</f>
        <v>153385.24999999994</v>
      </c>
      <c r="K83" s="56"/>
      <c r="L83" s="58"/>
      <c r="M83" s="58"/>
    </row>
    <row r="84" spans="1:13" s="164" customFormat="1" x14ac:dyDescent="0.2">
      <c r="A84" s="282" t="s">
        <v>225</v>
      </c>
      <c r="B84" s="276"/>
      <c r="C84" s="276"/>
      <c r="D84" s="276"/>
      <c r="E84" s="277" t="s">
        <v>667</v>
      </c>
      <c r="F84" s="276"/>
      <c r="G84" s="278"/>
      <c r="H84" s="279">
        <v>0</v>
      </c>
      <c r="I84" s="280"/>
      <c r="J84" s="280">
        <f>SUBTOTAL(9,J85:J108)</f>
        <v>149597.51</v>
      </c>
      <c r="K84" s="56"/>
      <c r="L84" s="58"/>
      <c r="M84" s="58"/>
    </row>
    <row r="85" spans="1:13" s="164" customFormat="1" ht="25.5" x14ac:dyDescent="0.2">
      <c r="A85" s="266" t="s">
        <v>586</v>
      </c>
      <c r="B85" s="220" t="s">
        <v>815</v>
      </c>
      <c r="C85" s="220" t="s">
        <v>57</v>
      </c>
      <c r="D85" s="210" t="s">
        <v>49</v>
      </c>
      <c r="E85" s="211" t="s">
        <v>262</v>
      </c>
      <c r="F85" s="209" t="s">
        <v>158</v>
      </c>
      <c r="G85" s="235">
        <v>3</v>
      </c>
      <c r="H85" s="212">
        <v>3076.33</v>
      </c>
      <c r="I85" s="212">
        <f t="shared" ref="I85:I108" si="12">ROUND(IF(D85="S",(H85*(1+$I$7)),(H85*(1+$I$8))),2)</f>
        <v>3589.15</v>
      </c>
      <c r="J85" s="212">
        <f t="shared" ref="J85:J108" si="13">ROUND(G85*I85,2)</f>
        <v>10767.45</v>
      </c>
      <c r="K85" s="56"/>
      <c r="L85" s="58"/>
      <c r="M85" s="58"/>
    </row>
    <row r="86" spans="1:13" s="164" customFormat="1" ht="38.25" x14ac:dyDescent="0.2">
      <c r="A86" s="266" t="s">
        <v>587</v>
      </c>
      <c r="B86" s="220" t="s">
        <v>816</v>
      </c>
      <c r="C86" s="220" t="s">
        <v>57</v>
      </c>
      <c r="D86" s="210" t="s">
        <v>49</v>
      </c>
      <c r="E86" s="211" t="s">
        <v>263</v>
      </c>
      <c r="F86" s="209" t="s">
        <v>96</v>
      </c>
      <c r="G86" s="235">
        <v>3</v>
      </c>
      <c r="H86" s="212">
        <v>1511.15</v>
      </c>
      <c r="I86" s="212">
        <f t="shared" si="12"/>
        <v>1763.06</v>
      </c>
      <c r="J86" s="212">
        <f t="shared" si="13"/>
        <v>5289.18</v>
      </c>
      <c r="K86" s="56"/>
      <c r="L86" s="58"/>
      <c r="M86" s="58"/>
    </row>
    <row r="87" spans="1:13" s="164" customFormat="1" x14ac:dyDescent="0.2">
      <c r="A87" s="266" t="s">
        <v>588</v>
      </c>
      <c r="B87" s="220" t="s">
        <v>813</v>
      </c>
      <c r="C87" s="220" t="s">
        <v>57</v>
      </c>
      <c r="D87" s="210" t="s">
        <v>49</v>
      </c>
      <c r="E87" s="211" t="s">
        <v>258</v>
      </c>
      <c r="F87" s="209" t="s">
        <v>158</v>
      </c>
      <c r="G87" s="235">
        <v>7</v>
      </c>
      <c r="H87" s="212">
        <v>704.81</v>
      </c>
      <c r="I87" s="212">
        <f t="shared" si="12"/>
        <v>822.3</v>
      </c>
      <c r="J87" s="212">
        <f t="shared" si="13"/>
        <v>5756.1</v>
      </c>
      <c r="K87" s="56"/>
      <c r="L87" s="58"/>
      <c r="M87" s="58"/>
    </row>
    <row r="88" spans="1:13" s="164" customFormat="1" x14ac:dyDescent="0.2">
      <c r="A88" s="266" t="s">
        <v>589</v>
      </c>
      <c r="B88" s="220" t="s">
        <v>817</v>
      </c>
      <c r="C88" s="220" t="s">
        <v>57</v>
      </c>
      <c r="D88" s="210" t="s">
        <v>49</v>
      </c>
      <c r="E88" s="211" t="s">
        <v>264</v>
      </c>
      <c r="F88" s="209" t="s">
        <v>96</v>
      </c>
      <c r="G88" s="235">
        <v>3</v>
      </c>
      <c r="H88" s="212">
        <v>1100.43</v>
      </c>
      <c r="I88" s="212">
        <f t="shared" si="12"/>
        <v>1283.8699999999999</v>
      </c>
      <c r="J88" s="212">
        <f t="shared" si="13"/>
        <v>3851.61</v>
      </c>
      <c r="K88" s="56"/>
      <c r="L88" s="58"/>
      <c r="M88" s="58"/>
    </row>
    <row r="89" spans="1:13" s="164" customFormat="1" ht="38.25" x14ac:dyDescent="0.2">
      <c r="A89" s="266" t="s">
        <v>590</v>
      </c>
      <c r="B89" s="220" t="s">
        <v>818</v>
      </c>
      <c r="C89" s="220" t="s">
        <v>57</v>
      </c>
      <c r="D89" s="210" t="s">
        <v>49</v>
      </c>
      <c r="E89" s="211" t="s">
        <v>265</v>
      </c>
      <c r="F89" s="209" t="s">
        <v>96</v>
      </c>
      <c r="G89" s="235">
        <v>3</v>
      </c>
      <c r="H89" s="212">
        <v>747.33</v>
      </c>
      <c r="I89" s="212">
        <f t="shared" si="12"/>
        <v>871.91</v>
      </c>
      <c r="J89" s="212">
        <f t="shared" si="13"/>
        <v>2615.73</v>
      </c>
      <c r="K89" s="56"/>
      <c r="L89" s="58"/>
      <c r="M89" s="58"/>
    </row>
    <row r="90" spans="1:13" s="164" customFormat="1" ht="25.5" x14ac:dyDescent="0.2">
      <c r="A90" s="266" t="s">
        <v>591</v>
      </c>
      <c r="B90" s="220" t="s">
        <v>1048</v>
      </c>
      <c r="C90" s="220" t="s">
        <v>365</v>
      </c>
      <c r="D90" s="210" t="s">
        <v>49</v>
      </c>
      <c r="E90" s="211" t="s">
        <v>266</v>
      </c>
      <c r="F90" s="209" t="s">
        <v>158</v>
      </c>
      <c r="G90" s="235">
        <v>6</v>
      </c>
      <c r="H90" s="212">
        <v>1004.84</v>
      </c>
      <c r="I90" s="212">
        <f t="shared" si="12"/>
        <v>1172.3499999999999</v>
      </c>
      <c r="J90" s="212">
        <f t="shared" si="13"/>
        <v>7034.1</v>
      </c>
      <c r="K90" s="56"/>
      <c r="L90" s="58"/>
      <c r="M90" s="58"/>
    </row>
    <row r="91" spans="1:13" s="164" customFormat="1" x14ac:dyDescent="0.2">
      <c r="A91" s="266" t="s">
        <v>592</v>
      </c>
      <c r="B91" s="220" t="s">
        <v>781</v>
      </c>
      <c r="C91" s="220" t="s">
        <v>57</v>
      </c>
      <c r="D91" s="210" t="s">
        <v>49</v>
      </c>
      <c r="E91" s="211" t="s">
        <v>267</v>
      </c>
      <c r="F91" s="209" t="s">
        <v>158</v>
      </c>
      <c r="G91" s="235">
        <v>6</v>
      </c>
      <c r="H91" s="212">
        <v>1465.9</v>
      </c>
      <c r="I91" s="212">
        <f t="shared" si="12"/>
        <v>1710.27</v>
      </c>
      <c r="J91" s="212">
        <f t="shared" si="13"/>
        <v>10261.620000000001</v>
      </c>
      <c r="K91" s="56"/>
      <c r="L91" s="58"/>
      <c r="M91" s="58"/>
    </row>
    <row r="92" spans="1:13" s="164" customFormat="1" x14ac:dyDescent="0.2">
      <c r="A92" s="266" t="s">
        <v>593</v>
      </c>
      <c r="B92" s="220" t="s">
        <v>819</v>
      </c>
      <c r="C92" s="220" t="s">
        <v>57</v>
      </c>
      <c r="D92" s="210" t="s">
        <v>49</v>
      </c>
      <c r="E92" s="211" t="s">
        <v>268</v>
      </c>
      <c r="F92" s="209" t="s">
        <v>158</v>
      </c>
      <c r="G92" s="235">
        <v>3</v>
      </c>
      <c r="H92" s="212">
        <v>454.53</v>
      </c>
      <c r="I92" s="212">
        <f t="shared" si="12"/>
        <v>530.29999999999995</v>
      </c>
      <c r="J92" s="212">
        <f t="shared" si="13"/>
        <v>1590.9</v>
      </c>
      <c r="K92" s="56"/>
      <c r="L92" s="58"/>
      <c r="M92" s="58"/>
    </row>
    <row r="93" spans="1:13" s="164" customFormat="1" x14ac:dyDescent="0.2">
      <c r="A93" s="266" t="s">
        <v>594</v>
      </c>
      <c r="B93" s="220" t="s">
        <v>1053</v>
      </c>
      <c r="C93" s="220" t="s">
        <v>365</v>
      </c>
      <c r="D93" s="210" t="s">
        <v>49</v>
      </c>
      <c r="E93" s="211" t="s">
        <v>269</v>
      </c>
      <c r="F93" s="209" t="s">
        <v>158</v>
      </c>
      <c r="G93" s="235">
        <v>3</v>
      </c>
      <c r="H93" s="212">
        <v>421.04</v>
      </c>
      <c r="I93" s="212">
        <f t="shared" si="12"/>
        <v>491.23</v>
      </c>
      <c r="J93" s="212">
        <f t="shared" si="13"/>
        <v>1473.69</v>
      </c>
      <c r="K93" s="56"/>
      <c r="L93" s="58"/>
      <c r="M93" s="58"/>
    </row>
    <row r="94" spans="1:13" s="164" customFormat="1" x14ac:dyDescent="0.2">
      <c r="A94" s="266" t="s">
        <v>595</v>
      </c>
      <c r="B94" s="220" t="s">
        <v>780</v>
      </c>
      <c r="C94" s="220" t="s">
        <v>57</v>
      </c>
      <c r="D94" s="210" t="s">
        <v>49</v>
      </c>
      <c r="E94" s="211" t="s">
        <v>270</v>
      </c>
      <c r="F94" s="209" t="s">
        <v>158</v>
      </c>
      <c r="G94" s="235">
        <v>3</v>
      </c>
      <c r="H94" s="212">
        <v>507.43</v>
      </c>
      <c r="I94" s="212">
        <f t="shared" si="12"/>
        <v>592.02</v>
      </c>
      <c r="J94" s="212">
        <f t="shared" si="13"/>
        <v>1776.06</v>
      </c>
      <c r="K94" s="56"/>
      <c r="L94" s="58"/>
      <c r="M94" s="58"/>
    </row>
    <row r="95" spans="1:13" s="164" customFormat="1" x14ac:dyDescent="0.2">
      <c r="A95" s="266" t="s">
        <v>596</v>
      </c>
      <c r="B95" s="220" t="s">
        <v>820</v>
      </c>
      <c r="C95" s="220" t="s">
        <v>57</v>
      </c>
      <c r="D95" s="210" t="s">
        <v>49</v>
      </c>
      <c r="E95" s="211" t="s">
        <v>271</v>
      </c>
      <c r="F95" s="209" t="s">
        <v>158</v>
      </c>
      <c r="G95" s="235">
        <v>6</v>
      </c>
      <c r="H95" s="212">
        <v>773.11</v>
      </c>
      <c r="I95" s="212">
        <f t="shared" si="12"/>
        <v>901.99</v>
      </c>
      <c r="J95" s="212">
        <f t="shared" si="13"/>
        <v>5411.94</v>
      </c>
      <c r="K95" s="56"/>
      <c r="L95" s="58"/>
      <c r="M95" s="58"/>
    </row>
    <row r="96" spans="1:13" s="164" customFormat="1" ht="25.5" x14ac:dyDescent="0.2">
      <c r="A96" s="266" t="s">
        <v>597</v>
      </c>
      <c r="B96" s="220" t="s">
        <v>821</v>
      </c>
      <c r="C96" s="220" t="s">
        <v>57</v>
      </c>
      <c r="D96" s="210" t="s">
        <v>49</v>
      </c>
      <c r="E96" s="211" t="s">
        <v>272</v>
      </c>
      <c r="F96" s="209" t="s">
        <v>158</v>
      </c>
      <c r="G96" s="235">
        <v>3</v>
      </c>
      <c r="H96" s="212">
        <v>1755.16</v>
      </c>
      <c r="I96" s="212">
        <f t="shared" si="12"/>
        <v>2047.75</v>
      </c>
      <c r="J96" s="212">
        <f t="shared" si="13"/>
        <v>6143.25</v>
      </c>
      <c r="K96" s="56"/>
      <c r="L96" s="58"/>
      <c r="M96" s="58"/>
    </row>
    <row r="97" spans="1:13" s="164" customFormat="1" ht="38.25" x14ac:dyDescent="0.2">
      <c r="A97" s="266" t="s">
        <v>598</v>
      </c>
      <c r="B97" s="220" t="s">
        <v>822</v>
      </c>
      <c r="C97" s="220" t="s">
        <v>57</v>
      </c>
      <c r="D97" s="210" t="s">
        <v>49</v>
      </c>
      <c r="E97" s="211" t="s">
        <v>273</v>
      </c>
      <c r="F97" s="209" t="s">
        <v>96</v>
      </c>
      <c r="G97" s="235">
        <v>3</v>
      </c>
      <c r="H97" s="212">
        <v>550.91999999999996</v>
      </c>
      <c r="I97" s="212">
        <f t="shared" si="12"/>
        <v>642.76</v>
      </c>
      <c r="J97" s="212">
        <f t="shared" si="13"/>
        <v>1928.28</v>
      </c>
      <c r="K97" s="56"/>
      <c r="L97" s="58"/>
      <c r="M97" s="58"/>
    </row>
    <row r="98" spans="1:13" s="164" customFormat="1" x14ac:dyDescent="0.2">
      <c r="A98" s="266" t="s">
        <v>599</v>
      </c>
      <c r="B98" s="220" t="s">
        <v>823</v>
      </c>
      <c r="C98" s="220" t="s">
        <v>57</v>
      </c>
      <c r="D98" s="210" t="s">
        <v>49</v>
      </c>
      <c r="E98" s="211" t="s">
        <v>730</v>
      </c>
      <c r="F98" s="209" t="s">
        <v>158</v>
      </c>
      <c r="G98" s="235">
        <v>3</v>
      </c>
      <c r="H98" s="212">
        <v>697.8</v>
      </c>
      <c r="I98" s="212">
        <f t="shared" si="12"/>
        <v>814.12</v>
      </c>
      <c r="J98" s="212">
        <f t="shared" si="13"/>
        <v>2442.36</v>
      </c>
      <c r="K98" s="56"/>
      <c r="L98" s="58"/>
      <c r="M98" s="58"/>
    </row>
    <row r="99" spans="1:13" s="164" customFormat="1" x14ac:dyDescent="0.2">
      <c r="A99" s="266" t="s">
        <v>600</v>
      </c>
      <c r="B99" s="220" t="s">
        <v>1051</v>
      </c>
      <c r="C99" s="220" t="s">
        <v>365</v>
      </c>
      <c r="D99" s="210" t="s">
        <v>49</v>
      </c>
      <c r="E99" s="211" t="s">
        <v>275</v>
      </c>
      <c r="F99" s="209" t="s">
        <v>158</v>
      </c>
      <c r="G99" s="235">
        <v>3</v>
      </c>
      <c r="H99" s="212">
        <v>529.84</v>
      </c>
      <c r="I99" s="212">
        <f t="shared" si="12"/>
        <v>618.16</v>
      </c>
      <c r="J99" s="212">
        <f t="shared" si="13"/>
        <v>1854.48</v>
      </c>
      <c r="K99" s="56"/>
      <c r="L99" s="58"/>
      <c r="M99" s="58"/>
    </row>
    <row r="100" spans="1:13" s="164" customFormat="1" x14ac:dyDescent="0.2">
      <c r="A100" s="266" t="s">
        <v>601</v>
      </c>
      <c r="B100" s="220" t="s">
        <v>824</v>
      </c>
      <c r="C100" s="220" t="s">
        <v>57</v>
      </c>
      <c r="D100" s="210" t="s">
        <v>49</v>
      </c>
      <c r="E100" s="211" t="s">
        <v>276</v>
      </c>
      <c r="F100" s="209" t="s">
        <v>158</v>
      </c>
      <c r="G100" s="235">
        <v>1</v>
      </c>
      <c r="H100" s="212">
        <v>179.88</v>
      </c>
      <c r="I100" s="212">
        <f t="shared" si="12"/>
        <v>209.87</v>
      </c>
      <c r="J100" s="212">
        <f t="shared" si="13"/>
        <v>209.87</v>
      </c>
      <c r="K100" s="56"/>
      <c r="L100" s="58"/>
      <c r="M100" s="58"/>
    </row>
    <row r="101" spans="1:13" s="164" customFormat="1" ht="38.25" x14ac:dyDescent="0.2">
      <c r="A101" s="266" t="s">
        <v>602</v>
      </c>
      <c r="B101" s="220" t="s">
        <v>825</v>
      </c>
      <c r="C101" s="220" t="s">
        <v>57</v>
      </c>
      <c r="D101" s="210" t="s">
        <v>49</v>
      </c>
      <c r="E101" s="211" t="s">
        <v>277</v>
      </c>
      <c r="F101" s="209" t="s">
        <v>96</v>
      </c>
      <c r="G101" s="235">
        <v>3</v>
      </c>
      <c r="H101" s="212">
        <v>856.45</v>
      </c>
      <c r="I101" s="212">
        <f t="shared" si="12"/>
        <v>999.22</v>
      </c>
      <c r="J101" s="212">
        <f t="shared" si="13"/>
        <v>2997.66</v>
      </c>
      <c r="K101" s="56"/>
      <c r="L101" s="58"/>
      <c r="M101" s="58"/>
    </row>
    <row r="102" spans="1:13" s="164" customFormat="1" x14ac:dyDescent="0.2">
      <c r="A102" s="266" t="s">
        <v>603</v>
      </c>
      <c r="B102" s="220" t="s">
        <v>810</v>
      </c>
      <c r="C102" s="220" t="s">
        <v>57</v>
      </c>
      <c r="D102" s="210" t="s">
        <v>49</v>
      </c>
      <c r="E102" s="211" t="s">
        <v>278</v>
      </c>
      <c r="F102" s="209" t="s">
        <v>96</v>
      </c>
      <c r="G102" s="235">
        <v>1</v>
      </c>
      <c r="H102" s="212">
        <v>1418.05</v>
      </c>
      <c r="I102" s="212">
        <f t="shared" si="12"/>
        <v>1654.44</v>
      </c>
      <c r="J102" s="212">
        <f t="shared" si="13"/>
        <v>1654.44</v>
      </c>
      <c r="K102" s="56"/>
      <c r="L102" s="58"/>
      <c r="M102" s="58"/>
    </row>
    <row r="103" spans="1:13" s="164" customFormat="1" x14ac:dyDescent="0.2">
      <c r="A103" s="266" t="s">
        <v>604</v>
      </c>
      <c r="B103" s="220" t="s">
        <v>801</v>
      </c>
      <c r="C103" s="220" t="s">
        <v>57</v>
      </c>
      <c r="D103" s="210" t="s">
        <v>49</v>
      </c>
      <c r="E103" s="211" t="s">
        <v>279</v>
      </c>
      <c r="F103" s="209" t="s">
        <v>158</v>
      </c>
      <c r="G103" s="235">
        <v>2</v>
      </c>
      <c r="H103" s="212">
        <v>376.97</v>
      </c>
      <c r="I103" s="212">
        <f t="shared" si="12"/>
        <v>439.81</v>
      </c>
      <c r="J103" s="212">
        <f t="shared" si="13"/>
        <v>879.62</v>
      </c>
      <c r="K103" s="56"/>
      <c r="L103" s="58"/>
      <c r="M103" s="58"/>
    </row>
    <row r="104" spans="1:13" s="164" customFormat="1" ht="25.5" x14ac:dyDescent="0.2">
      <c r="A104" s="266" t="s">
        <v>605</v>
      </c>
      <c r="B104" s="220" t="s">
        <v>826</v>
      </c>
      <c r="C104" s="220" t="s">
        <v>57</v>
      </c>
      <c r="D104" s="210" t="s">
        <v>49</v>
      </c>
      <c r="E104" s="211" t="s">
        <v>280</v>
      </c>
      <c r="F104" s="209" t="s">
        <v>68</v>
      </c>
      <c r="G104" s="235">
        <v>3</v>
      </c>
      <c r="H104" s="212">
        <v>16930</v>
      </c>
      <c r="I104" s="212">
        <f t="shared" si="12"/>
        <v>19752.23</v>
      </c>
      <c r="J104" s="212">
        <f t="shared" si="13"/>
        <v>59256.69</v>
      </c>
      <c r="K104" s="56"/>
      <c r="L104" s="58"/>
      <c r="M104" s="58"/>
    </row>
    <row r="105" spans="1:13" s="191" customFormat="1" ht="25.5" x14ac:dyDescent="0.2">
      <c r="A105" s="266" t="s">
        <v>1043</v>
      </c>
      <c r="B105" s="220" t="s">
        <v>1082</v>
      </c>
      <c r="C105" s="220" t="s">
        <v>57</v>
      </c>
      <c r="D105" s="210" t="s">
        <v>49</v>
      </c>
      <c r="E105" s="211" t="s">
        <v>932</v>
      </c>
      <c r="F105" s="209" t="s">
        <v>158</v>
      </c>
      <c r="G105" s="235">
        <v>24</v>
      </c>
      <c r="H105" s="212">
        <v>15.71</v>
      </c>
      <c r="I105" s="212">
        <f t="shared" si="12"/>
        <v>18.329999999999998</v>
      </c>
      <c r="J105" s="212">
        <f t="shared" si="13"/>
        <v>439.92</v>
      </c>
      <c r="K105" s="56"/>
      <c r="L105" s="58"/>
      <c r="M105" s="58"/>
    </row>
    <row r="106" spans="1:13" s="191" customFormat="1" ht="25.5" x14ac:dyDescent="0.2">
      <c r="A106" s="266" t="s">
        <v>1044</v>
      </c>
      <c r="B106" s="220" t="s">
        <v>1082</v>
      </c>
      <c r="C106" s="220" t="s">
        <v>57</v>
      </c>
      <c r="D106" s="210" t="s">
        <v>49</v>
      </c>
      <c r="E106" s="211" t="s">
        <v>933</v>
      </c>
      <c r="F106" s="209" t="s">
        <v>158</v>
      </c>
      <c r="G106" s="235">
        <v>32</v>
      </c>
      <c r="H106" s="212">
        <v>17.100000000000001</v>
      </c>
      <c r="I106" s="212">
        <f t="shared" si="12"/>
        <v>19.95</v>
      </c>
      <c r="J106" s="212">
        <f t="shared" si="13"/>
        <v>638.4</v>
      </c>
      <c r="K106" s="56"/>
      <c r="L106" s="58"/>
      <c r="M106" s="58"/>
    </row>
    <row r="107" spans="1:13" s="191" customFormat="1" ht="38.25" x14ac:dyDescent="0.2">
      <c r="A107" s="266" t="s">
        <v>1045</v>
      </c>
      <c r="B107" s="220" t="s">
        <v>842</v>
      </c>
      <c r="C107" s="220" t="s">
        <v>57</v>
      </c>
      <c r="D107" s="210" t="s">
        <v>49</v>
      </c>
      <c r="E107" s="211" t="s">
        <v>934</v>
      </c>
      <c r="F107" s="209" t="s">
        <v>68</v>
      </c>
      <c r="G107" s="235">
        <v>192</v>
      </c>
      <c r="H107" s="212">
        <v>19.75</v>
      </c>
      <c r="I107" s="212">
        <f t="shared" si="12"/>
        <v>23.04</v>
      </c>
      <c r="J107" s="212">
        <f t="shared" si="13"/>
        <v>4423.68</v>
      </c>
      <c r="K107" s="56"/>
      <c r="L107" s="58"/>
      <c r="M107" s="58"/>
    </row>
    <row r="108" spans="1:13" s="191" customFormat="1" ht="38.25" x14ac:dyDescent="0.2">
      <c r="A108" s="266" t="s">
        <v>1046</v>
      </c>
      <c r="B108" s="220" t="s">
        <v>843</v>
      </c>
      <c r="C108" s="220" t="s">
        <v>57</v>
      </c>
      <c r="D108" s="210" t="s">
        <v>49</v>
      </c>
      <c r="E108" s="211" t="s">
        <v>935</v>
      </c>
      <c r="F108" s="209" t="s">
        <v>68</v>
      </c>
      <c r="G108" s="235">
        <v>256</v>
      </c>
      <c r="H108" s="212">
        <v>36.5</v>
      </c>
      <c r="I108" s="212">
        <f t="shared" si="12"/>
        <v>42.58</v>
      </c>
      <c r="J108" s="212">
        <f t="shared" si="13"/>
        <v>10900.48</v>
      </c>
      <c r="K108" s="56"/>
      <c r="L108" s="58"/>
      <c r="M108" s="58"/>
    </row>
    <row r="109" spans="1:13" s="165" customFormat="1" x14ac:dyDescent="0.2">
      <c r="A109" s="282" t="s">
        <v>543</v>
      </c>
      <c r="B109" s="276"/>
      <c r="C109" s="276"/>
      <c r="D109" s="276"/>
      <c r="E109" s="277" t="s">
        <v>608</v>
      </c>
      <c r="F109" s="276"/>
      <c r="G109" s="278"/>
      <c r="H109" s="279">
        <v>0</v>
      </c>
      <c r="I109" s="280"/>
      <c r="J109" s="280">
        <f>SUBTOTAL(9,J110:J120)</f>
        <v>3787.74</v>
      </c>
      <c r="K109" s="56"/>
      <c r="L109" s="58"/>
      <c r="M109" s="58"/>
    </row>
    <row r="110" spans="1:13" s="165" customFormat="1" ht="25.5" x14ac:dyDescent="0.2">
      <c r="A110" s="266" t="s">
        <v>606</v>
      </c>
      <c r="B110" s="220" t="s">
        <v>945</v>
      </c>
      <c r="C110" s="220" t="s">
        <v>365</v>
      </c>
      <c r="D110" s="210" t="s">
        <v>32</v>
      </c>
      <c r="E110" s="211" t="s">
        <v>262</v>
      </c>
      <c r="F110" s="209" t="s">
        <v>158</v>
      </c>
      <c r="G110" s="235">
        <v>3</v>
      </c>
      <c r="H110" s="212">
        <v>11.23</v>
      </c>
      <c r="I110" s="212">
        <f t="shared" ref="I110:I120" si="14">ROUND(IF(D110="S",(H110*(1+$I$7)),(H110*(1+$I$8))),2)</f>
        <v>14.6</v>
      </c>
      <c r="J110" s="212">
        <f t="shared" ref="J110:J120" si="15">ROUND(G110*I110,2)</f>
        <v>43.8</v>
      </c>
      <c r="K110" s="56"/>
      <c r="L110" s="58"/>
      <c r="M110" s="58"/>
    </row>
    <row r="111" spans="1:13" s="165" customFormat="1" ht="25.5" x14ac:dyDescent="0.2">
      <c r="A111" s="266" t="s">
        <v>1054</v>
      </c>
      <c r="B111" s="220" t="s">
        <v>945</v>
      </c>
      <c r="C111" s="220" t="s">
        <v>365</v>
      </c>
      <c r="D111" s="210" t="s">
        <v>32</v>
      </c>
      <c r="E111" s="211" t="s">
        <v>266</v>
      </c>
      <c r="F111" s="209" t="s">
        <v>158</v>
      </c>
      <c r="G111" s="235">
        <v>6</v>
      </c>
      <c r="H111" s="212">
        <v>11.23</v>
      </c>
      <c r="I111" s="212">
        <f t="shared" si="14"/>
        <v>14.6</v>
      </c>
      <c r="J111" s="212">
        <f t="shared" si="15"/>
        <v>87.6</v>
      </c>
      <c r="K111" s="56"/>
      <c r="L111" s="58"/>
      <c r="M111" s="58"/>
    </row>
    <row r="112" spans="1:13" s="165" customFormat="1" ht="25.5" x14ac:dyDescent="0.2">
      <c r="A112" s="266" t="s">
        <v>1055</v>
      </c>
      <c r="B112" s="220" t="s">
        <v>1020</v>
      </c>
      <c r="C112" s="220" t="s">
        <v>365</v>
      </c>
      <c r="D112" s="210" t="s">
        <v>32</v>
      </c>
      <c r="E112" s="211" t="s">
        <v>272</v>
      </c>
      <c r="F112" s="209" t="s">
        <v>158</v>
      </c>
      <c r="G112" s="235">
        <v>3</v>
      </c>
      <c r="H112" s="212">
        <v>11.23</v>
      </c>
      <c r="I112" s="212">
        <f t="shared" si="14"/>
        <v>14.6</v>
      </c>
      <c r="J112" s="212">
        <f t="shared" si="15"/>
        <v>43.8</v>
      </c>
      <c r="K112" s="56"/>
      <c r="L112" s="58"/>
      <c r="M112" s="58"/>
    </row>
    <row r="113" spans="1:13" s="165" customFormat="1" ht="25.5" x14ac:dyDescent="0.2">
      <c r="A113" s="266" t="s">
        <v>1056</v>
      </c>
      <c r="B113" s="220" t="s">
        <v>1021</v>
      </c>
      <c r="C113" s="220" t="s">
        <v>365</v>
      </c>
      <c r="D113" s="210" t="s">
        <v>32</v>
      </c>
      <c r="E113" s="211" t="s">
        <v>274</v>
      </c>
      <c r="F113" s="209" t="s">
        <v>158</v>
      </c>
      <c r="G113" s="235">
        <v>3</v>
      </c>
      <c r="H113" s="212">
        <v>11.23</v>
      </c>
      <c r="I113" s="212">
        <f t="shared" si="14"/>
        <v>14.6</v>
      </c>
      <c r="J113" s="212">
        <f t="shared" si="15"/>
        <v>43.8</v>
      </c>
      <c r="K113" s="56"/>
      <c r="L113" s="58"/>
      <c r="M113" s="58"/>
    </row>
    <row r="114" spans="1:13" s="192" customFormat="1" ht="25.9" customHeight="1" x14ac:dyDescent="0.2">
      <c r="A114" s="266" t="s">
        <v>1057</v>
      </c>
      <c r="B114" s="220" t="s">
        <v>949</v>
      </c>
      <c r="C114" s="220" t="s">
        <v>44</v>
      </c>
      <c r="D114" s="210" t="s">
        <v>32</v>
      </c>
      <c r="E114" s="211" t="s">
        <v>999</v>
      </c>
      <c r="F114" s="209" t="s">
        <v>35</v>
      </c>
      <c r="G114" s="235">
        <f>(3*0.75)</f>
        <v>2.25</v>
      </c>
      <c r="H114" s="212">
        <v>9.93</v>
      </c>
      <c r="I114" s="212">
        <f t="shared" si="14"/>
        <v>12.91</v>
      </c>
      <c r="J114" s="212">
        <f t="shared" si="15"/>
        <v>29.05</v>
      </c>
      <c r="K114" s="56"/>
      <c r="L114" s="58"/>
      <c r="M114" s="58"/>
    </row>
    <row r="115" spans="1:13" s="192" customFormat="1" ht="25.9" customHeight="1" x14ac:dyDescent="0.2">
      <c r="A115" s="266" t="s">
        <v>607</v>
      </c>
      <c r="B115" s="220" t="s">
        <v>980</v>
      </c>
      <c r="C115" s="220" t="s">
        <v>44</v>
      </c>
      <c r="D115" s="210" t="s">
        <v>32</v>
      </c>
      <c r="E115" s="211" t="s">
        <v>981</v>
      </c>
      <c r="F115" s="209" t="s">
        <v>35</v>
      </c>
      <c r="G115" s="235">
        <f>(1.6+(3*0.8)+(3*0.6)+(3*2))</f>
        <v>11.8</v>
      </c>
      <c r="H115" s="212">
        <v>13.98</v>
      </c>
      <c r="I115" s="212">
        <f t="shared" si="14"/>
        <v>18.18</v>
      </c>
      <c r="J115" s="212">
        <f t="shared" si="15"/>
        <v>214.52</v>
      </c>
      <c r="K115" s="56"/>
      <c r="L115" s="58"/>
      <c r="M115" s="58"/>
    </row>
    <row r="116" spans="1:13" s="192" customFormat="1" ht="25.9" customHeight="1" x14ac:dyDescent="0.2">
      <c r="A116" s="266" t="s">
        <v>1058</v>
      </c>
      <c r="B116" s="220" t="s">
        <v>991</v>
      </c>
      <c r="C116" s="220" t="s">
        <v>44</v>
      </c>
      <c r="D116" s="210" t="s">
        <v>32</v>
      </c>
      <c r="E116" s="211" t="s">
        <v>998</v>
      </c>
      <c r="F116" s="209" t="s">
        <v>45</v>
      </c>
      <c r="G116" s="235">
        <v>1</v>
      </c>
      <c r="H116" s="212">
        <v>35.409999999999997</v>
      </c>
      <c r="I116" s="212">
        <f t="shared" si="14"/>
        <v>46.05</v>
      </c>
      <c r="J116" s="212">
        <f t="shared" si="15"/>
        <v>46.05</v>
      </c>
      <c r="K116" s="56"/>
      <c r="L116" s="58"/>
      <c r="M116" s="58"/>
    </row>
    <row r="117" spans="1:13" s="192" customFormat="1" ht="25.9" customHeight="1" x14ac:dyDescent="0.2">
      <c r="A117" s="266" t="s">
        <v>1059</v>
      </c>
      <c r="B117" s="220" t="s">
        <v>984</v>
      </c>
      <c r="C117" s="220" t="s">
        <v>44</v>
      </c>
      <c r="D117" s="210" t="s">
        <v>32</v>
      </c>
      <c r="E117" s="211" t="s">
        <v>985</v>
      </c>
      <c r="F117" s="209" t="s">
        <v>45</v>
      </c>
      <c r="G117" s="235">
        <v>3</v>
      </c>
      <c r="H117" s="212">
        <v>80.95</v>
      </c>
      <c r="I117" s="212">
        <f t="shared" si="14"/>
        <v>105.28</v>
      </c>
      <c r="J117" s="212">
        <f t="shared" si="15"/>
        <v>315.83999999999997</v>
      </c>
      <c r="K117" s="56"/>
      <c r="L117" s="58"/>
      <c r="M117" s="58"/>
    </row>
    <row r="118" spans="1:13" s="192" customFormat="1" ht="25.9" customHeight="1" x14ac:dyDescent="0.2">
      <c r="A118" s="266" t="s">
        <v>1060</v>
      </c>
      <c r="B118" s="220" t="s">
        <v>946</v>
      </c>
      <c r="C118" s="220" t="s">
        <v>44</v>
      </c>
      <c r="D118" s="210" t="s">
        <v>32</v>
      </c>
      <c r="E118" s="211" t="s">
        <v>988</v>
      </c>
      <c r="F118" s="209" t="s">
        <v>45</v>
      </c>
      <c r="G118" s="235">
        <v>12</v>
      </c>
      <c r="H118" s="212">
        <v>41.27</v>
      </c>
      <c r="I118" s="212">
        <f t="shared" si="14"/>
        <v>53.67</v>
      </c>
      <c r="J118" s="212">
        <f t="shared" si="15"/>
        <v>644.04</v>
      </c>
      <c r="K118" s="56"/>
      <c r="L118" s="58"/>
      <c r="M118" s="58"/>
    </row>
    <row r="119" spans="1:13" s="192" customFormat="1" ht="25.9" customHeight="1" x14ac:dyDescent="0.2">
      <c r="A119" s="266" t="s">
        <v>1061</v>
      </c>
      <c r="B119" s="220" t="s">
        <v>982</v>
      </c>
      <c r="C119" s="220" t="s">
        <v>44</v>
      </c>
      <c r="D119" s="210" t="s">
        <v>32</v>
      </c>
      <c r="E119" s="211" t="s">
        <v>983</v>
      </c>
      <c r="F119" s="209" t="s">
        <v>45</v>
      </c>
      <c r="G119" s="235">
        <v>15</v>
      </c>
      <c r="H119" s="212">
        <v>58.17</v>
      </c>
      <c r="I119" s="212">
        <f t="shared" si="14"/>
        <v>75.650000000000006</v>
      </c>
      <c r="J119" s="212">
        <f t="shared" si="15"/>
        <v>1134.75</v>
      </c>
      <c r="K119" s="56"/>
      <c r="L119" s="58"/>
      <c r="M119" s="58"/>
    </row>
    <row r="120" spans="1:13" s="192" customFormat="1" ht="25.9" customHeight="1" x14ac:dyDescent="0.2">
      <c r="A120" s="266" t="s">
        <v>1062</v>
      </c>
      <c r="B120" s="220" t="s">
        <v>996</v>
      </c>
      <c r="C120" s="220" t="s">
        <v>44</v>
      </c>
      <c r="D120" s="210" t="s">
        <v>32</v>
      </c>
      <c r="E120" s="211" t="s">
        <v>997</v>
      </c>
      <c r="F120" s="209" t="s">
        <v>68</v>
      </c>
      <c r="G120" s="235">
        <v>3</v>
      </c>
      <c r="H120" s="212">
        <v>303.60000000000002</v>
      </c>
      <c r="I120" s="212">
        <f t="shared" si="14"/>
        <v>394.83</v>
      </c>
      <c r="J120" s="212">
        <f t="shared" si="15"/>
        <v>1184.49</v>
      </c>
      <c r="K120" s="56"/>
      <c r="L120" s="58"/>
      <c r="M120" s="58"/>
    </row>
    <row r="121" spans="1:13" s="165" customFormat="1" x14ac:dyDescent="0.2">
      <c r="A121" s="282" t="s">
        <v>226</v>
      </c>
      <c r="B121" s="276"/>
      <c r="C121" s="276"/>
      <c r="D121" s="276"/>
      <c r="E121" s="277" t="s">
        <v>609</v>
      </c>
      <c r="F121" s="276"/>
      <c r="G121" s="278"/>
      <c r="H121" s="279">
        <v>0</v>
      </c>
      <c r="I121" s="280"/>
      <c r="J121" s="280">
        <f>SUBTOTAL(9,J122:J160)</f>
        <v>212925.98999999996</v>
      </c>
      <c r="K121" s="56"/>
      <c r="L121" s="58"/>
      <c r="M121" s="58"/>
    </row>
    <row r="122" spans="1:13" s="164" customFormat="1" x14ac:dyDescent="0.2">
      <c r="A122" s="282" t="s">
        <v>227</v>
      </c>
      <c r="B122" s="276"/>
      <c r="C122" s="276"/>
      <c r="D122" s="276"/>
      <c r="E122" s="277" t="s">
        <v>669</v>
      </c>
      <c r="F122" s="276"/>
      <c r="G122" s="278"/>
      <c r="H122" s="279">
        <v>0</v>
      </c>
      <c r="I122" s="280"/>
      <c r="J122" s="280">
        <f>SUBTOTAL(9,J123:J148)</f>
        <v>206542.53999999998</v>
      </c>
      <c r="K122" s="56"/>
      <c r="L122" s="58"/>
      <c r="M122" s="58"/>
    </row>
    <row r="123" spans="1:13" s="164" customFormat="1" ht="25.5" x14ac:dyDescent="0.2">
      <c r="A123" s="266" t="s">
        <v>545</v>
      </c>
      <c r="B123" s="220" t="s">
        <v>815</v>
      </c>
      <c r="C123" s="220" t="s">
        <v>57</v>
      </c>
      <c r="D123" s="210" t="s">
        <v>49</v>
      </c>
      <c r="E123" s="211" t="s">
        <v>281</v>
      </c>
      <c r="F123" s="209" t="s">
        <v>158</v>
      </c>
      <c r="G123" s="235">
        <v>3</v>
      </c>
      <c r="H123" s="212">
        <v>3076.33</v>
      </c>
      <c r="I123" s="212">
        <f t="shared" ref="I123:I142" si="16">ROUND(IF(D123="S",(H123*(1+$I$7)),(H123*(1+$I$8))),2)</f>
        <v>3589.15</v>
      </c>
      <c r="J123" s="212">
        <f t="shared" ref="J123:J142" si="17">ROUND(G123*I123,2)</f>
        <v>10767.45</v>
      </c>
      <c r="K123" s="56"/>
      <c r="L123" s="58"/>
      <c r="M123" s="58"/>
    </row>
    <row r="124" spans="1:13" s="164" customFormat="1" ht="38.25" x14ac:dyDescent="0.2">
      <c r="A124" s="266" t="s">
        <v>559</v>
      </c>
      <c r="B124" s="220" t="s">
        <v>827</v>
      </c>
      <c r="C124" s="220" t="s">
        <v>57</v>
      </c>
      <c r="D124" s="210" t="s">
        <v>49</v>
      </c>
      <c r="E124" s="211" t="s">
        <v>282</v>
      </c>
      <c r="F124" s="209" t="s">
        <v>96</v>
      </c>
      <c r="G124" s="235">
        <v>3</v>
      </c>
      <c r="H124" s="212">
        <v>2297.21</v>
      </c>
      <c r="I124" s="212">
        <f t="shared" si="16"/>
        <v>2680.15</v>
      </c>
      <c r="J124" s="212">
        <f t="shared" si="17"/>
        <v>8040.45</v>
      </c>
      <c r="K124" s="56"/>
      <c r="L124" s="58"/>
      <c r="M124" s="58"/>
    </row>
    <row r="125" spans="1:13" s="164" customFormat="1" x14ac:dyDescent="0.2">
      <c r="A125" s="266" t="s">
        <v>560</v>
      </c>
      <c r="B125" s="220" t="s">
        <v>800</v>
      </c>
      <c r="C125" s="220" t="s">
        <v>57</v>
      </c>
      <c r="D125" s="210" t="s">
        <v>49</v>
      </c>
      <c r="E125" s="211" t="s">
        <v>283</v>
      </c>
      <c r="F125" s="209" t="s">
        <v>158</v>
      </c>
      <c r="G125" s="235">
        <v>7</v>
      </c>
      <c r="H125" s="212">
        <v>1777.88</v>
      </c>
      <c r="I125" s="212">
        <f t="shared" si="16"/>
        <v>2074.25</v>
      </c>
      <c r="J125" s="212">
        <f t="shared" si="17"/>
        <v>14519.75</v>
      </c>
      <c r="K125" s="56"/>
      <c r="L125" s="58"/>
      <c r="M125" s="58"/>
    </row>
    <row r="126" spans="1:13" s="164" customFormat="1" x14ac:dyDescent="0.2">
      <c r="A126" s="266" t="s">
        <v>561</v>
      </c>
      <c r="B126" s="220" t="s">
        <v>828</v>
      </c>
      <c r="C126" s="220" t="s">
        <v>57</v>
      </c>
      <c r="D126" s="210" t="s">
        <v>49</v>
      </c>
      <c r="E126" s="211" t="s">
        <v>264</v>
      </c>
      <c r="F126" s="209" t="s">
        <v>96</v>
      </c>
      <c r="G126" s="235">
        <v>3</v>
      </c>
      <c r="H126" s="212">
        <v>801.89</v>
      </c>
      <c r="I126" s="212">
        <f t="shared" si="16"/>
        <v>935.57</v>
      </c>
      <c r="J126" s="212">
        <f t="shared" si="17"/>
        <v>2806.71</v>
      </c>
      <c r="K126" s="56"/>
      <c r="L126" s="58"/>
      <c r="M126" s="58"/>
    </row>
    <row r="127" spans="1:13" s="164" customFormat="1" ht="38.25" x14ac:dyDescent="0.2">
      <c r="A127" s="266" t="s">
        <v>562</v>
      </c>
      <c r="B127" s="220" t="s">
        <v>829</v>
      </c>
      <c r="C127" s="220" t="s">
        <v>57</v>
      </c>
      <c r="D127" s="210" t="s">
        <v>49</v>
      </c>
      <c r="E127" s="211" t="s">
        <v>284</v>
      </c>
      <c r="F127" s="209" t="s">
        <v>96</v>
      </c>
      <c r="G127" s="235">
        <v>3</v>
      </c>
      <c r="H127" s="212">
        <v>583.66</v>
      </c>
      <c r="I127" s="212">
        <f t="shared" si="16"/>
        <v>680.96</v>
      </c>
      <c r="J127" s="212">
        <f t="shared" si="17"/>
        <v>2042.88</v>
      </c>
      <c r="K127" s="56"/>
      <c r="L127" s="58"/>
      <c r="M127" s="58"/>
    </row>
    <row r="128" spans="1:13" s="164" customFormat="1" ht="25.5" x14ac:dyDescent="0.2">
      <c r="A128" s="266" t="s">
        <v>563</v>
      </c>
      <c r="B128" s="220" t="s">
        <v>1048</v>
      </c>
      <c r="C128" s="220" t="s">
        <v>365</v>
      </c>
      <c r="D128" s="210" t="s">
        <v>49</v>
      </c>
      <c r="E128" s="211" t="s">
        <v>266</v>
      </c>
      <c r="F128" s="209" t="s">
        <v>158</v>
      </c>
      <c r="G128" s="235">
        <v>6</v>
      </c>
      <c r="H128" s="212">
        <v>1004.84</v>
      </c>
      <c r="I128" s="212">
        <f t="shared" si="16"/>
        <v>1172.3499999999999</v>
      </c>
      <c r="J128" s="212">
        <f t="shared" si="17"/>
        <v>7034.1</v>
      </c>
      <c r="K128" s="56"/>
      <c r="L128" s="58"/>
      <c r="M128" s="58"/>
    </row>
    <row r="129" spans="1:13" s="164" customFormat="1" x14ac:dyDescent="0.2">
      <c r="A129" s="266" t="s">
        <v>564</v>
      </c>
      <c r="B129" s="220" t="s">
        <v>781</v>
      </c>
      <c r="C129" s="220" t="s">
        <v>57</v>
      </c>
      <c r="D129" s="210" t="s">
        <v>49</v>
      </c>
      <c r="E129" s="211" t="s">
        <v>267</v>
      </c>
      <c r="F129" s="209" t="s">
        <v>158</v>
      </c>
      <c r="G129" s="235">
        <v>6</v>
      </c>
      <c r="H129" s="212">
        <v>1465.9</v>
      </c>
      <c r="I129" s="212">
        <f t="shared" si="16"/>
        <v>1710.27</v>
      </c>
      <c r="J129" s="212">
        <f t="shared" si="17"/>
        <v>10261.620000000001</v>
      </c>
      <c r="K129" s="56"/>
      <c r="L129" s="58"/>
      <c r="M129" s="58"/>
    </row>
    <row r="130" spans="1:13" s="164" customFormat="1" x14ac:dyDescent="0.2">
      <c r="A130" s="266" t="s">
        <v>565</v>
      </c>
      <c r="B130" s="220" t="s">
        <v>830</v>
      </c>
      <c r="C130" s="220" t="s">
        <v>57</v>
      </c>
      <c r="D130" s="210" t="s">
        <v>49</v>
      </c>
      <c r="E130" s="211" t="s">
        <v>285</v>
      </c>
      <c r="F130" s="209" t="s">
        <v>158</v>
      </c>
      <c r="G130" s="235">
        <v>3</v>
      </c>
      <c r="H130" s="212">
        <v>1128.6199999999999</v>
      </c>
      <c r="I130" s="212">
        <f t="shared" si="16"/>
        <v>1316.76</v>
      </c>
      <c r="J130" s="212">
        <f t="shared" si="17"/>
        <v>3950.28</v>
      </c>
      <c r="K130" s="56"/>
      <c r="L130" s="58"/>
      <c r="M130" s="58"/>
    </row>
    <row r="131" spans="1:13" s="164" customFormat="1" x14ac:dyDescent="0.2">
      <c r="A131" s="266" t="s">
        <v>566</v>
      </c>
      <c r="B131" s="220" t="s">
        <v>796</v>
      </c>
      <c r="C131" s="220" t="s">
        <v>57</v>
      </c>
      <c r="D131" s="210" t="s">
        <v>49</v>
      </c>
      <c r="E131" s="211" t="s">
        <v>286</v>
      </c>
      <c r="F131" s="209" t="s">
        <v>158</v>
      </c>
      <c r="G131" s="235">
        <v>3</v>
      </c>
      <c r="H131" s="212">
        <v>691.38</v>
      </c>
      <c r="I131" s="212">
        <f t="shared" si="16"/>
        <v>806.63</v>
      </c>
      <c r="J131" s="212">
        <f t="shared" si="17"/>
        <v>2419.89</v>
      </c>
      <c r="K131" s="56"/>
      <c r="L131" s="58"/>
      <c r="M131" s="58"/>
    </row>
    <row r="132" spans="1:13" s="164" customFormat="1" x14ac:dyDescent="0.2">
      <c r="A132" s="266" t="s">
        <v>567</v>
      </c>
      <c r="B132" s="220" t="s">
        <v>831</v>
      </c>
      <c r="C132" s="220" t="s">
        <v>57</v>
      </c>
      <c r="D132" s="210" t="s">
        <v>49</v>
      </c>
      <c r="E132" s="211" t="s">
        <v>287</v>
      </c>
      <c r="F132" s="209" t="s">
        <v>158</v>
      </c>
      <c r="G132" s="235">
        <v>3</v>
      </c>
      <c r="H132" s="212">
        <v>759.75</v>
      </c>
      <c r="I132" s="212">
        <f t="shared" si="16"/>
        <v>886.4</v>
      </c>
      <c r="J132" s="212">
        <f t="shared" si="17"/>
        <v>2659.2</v>
      </c>
      <c r="K132" s="56"/>
      <c r="L132" s="58"/>
      <c r="M132" s="58"/>
    </row>
    <row r="133" spans="1:13" s="164" customFormat="1" x14ac:dyDescent="0.2">
      <c r="A133" s="266" t="s">
        <v>568</v>
      </c>
      <c r="B133" s="220" t="s">
        <v>1063</v>
      </c>
      <c r="C133" s="220" t="s">
        <v>365</v>
      </c>
      <c r="D133" s="210" t="s">
        <v>49</v>
      </c>
      <c r="E133" s="211" t="s">
        <v>288</v>
      </c>
      <c r="F133" s="209" t="s">
        <v>158</v>
      </c>
      <c r="G133" s="235">
        <v>6</v>
      </c>
      <c r="H133" s="212">
        <v>572.83000000000004</v>
      </c>
      <c r="I133" s="212">
        <f t="shared" si="16"/>
        <v>668.32</v>
      </c>
      <c r="J133" s="212">
        <f t="shared" si="17"/>
        <v>4009.92</v>
      </c>
      <c r="K133" s="56"/>
      <c r="L133" s="58"/>
      <c r="M133" s="58"/>
    </row>
    <row r="134" spans="1:13" s="164" customFormat="1" ht="25.5" x14ac:dyDescent="0.2">
      <c r="A134" s="266" t="s">
        <v>569</v>
      </c>
      <c r="B134" s="220" t="s">
        <v>1094</v>
      </c>
      <c r="C134" s="220" t="s">
        <v>57</v>
      </c>
      <c r="D134" s="210" t="s">
        <v>49</v>
      </c>
      <c r="E134" s="211" t="s">
        <v>289</v>
      </c>
      <c r="F134" s="209" t="s">
        <v>158</v>
      </c>
      <c r="G134" s="235">
        <v>3</v>
      </c>
      <c r="H134" s="212">
        <v>1558.96</v>
      </c>
      <c r="I134" s="212">
        <f t="shared" si="16"/>
        <v>1818.84</v>
      </c>
      <c r="J134" s="212">
        <f t="shared" si="17"/>
        <v>5456.52</v>
      </c>
      <c r="K134" s="56"/>
      <c r="L134" s="58"/>
      <c r="M134" s="58"/>
    </row>
    <row r="135" spans="1:13" s="164" customFormat="1" ht="38.25" x14ac:dyDescent="0.2">
      <c r="A135" s="266" t="s">
        <v>570</v>
      </c>
      <c r="B135" s="220" t="s">
        <v>832</v>
      </c>
      <c r="C135" s="220" t="s">
        <v>57</v>
      </c>
      <c r="D135" s="210" t="s">
        <v>49</v>
      </c>
      <c r="E135" s="211" t="s">
        <v>248</v>
      </c>
      <c r="F135" s="209" t="s">
        <v>96</v>
      </c>
      <c r="G135" s="235">
        <v>3</v>
      </c>
      <c r="H135" s="212">
        <v>721.4</v>
      </c>
      <c r="I135" s="212">
        <f t="shared" si="16"/>
        <v>841.66</v>
      </c>
      <c r="J135" s="212">
        <f t="shared" si="17"/>
        <v>2524.98</v>
      </c>
      <c r="K135" s="56"/>
      <c r="L135" s="58"/>
      <c r="M135" s="58"/>
    </row>
    <row r="136" spans="1:13" s="164" customFormat="1" ht="25.5" x14ac:dyDescent="0.2">
      <c r="A136" s="266" t="s">
        <v>571</v>
      </c>
      <c r="B136" s="220" t="s">
        <v>833</v>
      </c>
      <c r="C136" s="220" t="s">
        <v>57</v>
      </c>
      <c r="D136" s="210" t="s">
        <v>49</v>
      </c>
      <c r="E136" s="211" t="s">
        <v>290</v>
      </c>
      <c r="F136" s="209" t="s">
        <v>158</v>
      </c>
      <c r="G136" s="235">
        <v>3</v>
      </c>
      <c r="H136" s="212">
        <v>6494.3</v>
      </c>
      <c r="I136" s="212">
        <f t="shared" si="16"/>
        <v>7576.9</v>
      </c>
      <c r="J136" s="212">
        <f t="shared" si="17"/>
        <v>22730.7</v>
      </c>
      <c r="K136" s="56"/>
      <c r="L136" s="58"/>
      <c r="M136" s="58"/>
    </row>
    <row r="137" spans="1:13" s="164" customFormat="1" x14ac:dyDescent="0.2">
      <c r="A137" s="266" t="s">
        <v>572</v>
      </c>
      <c r="B137" s="220" t="s">
        <v>1052</v>
      </c>
      <c r="C137" s="220" t="s">
        <v>365</v>
      </c>
      <c r="D137" s="210" t="s">
        <v>49</v>
      </c>
      <c r="E137" s="211" t="s">
        <v>291</v>
      </c>
      <c r="F137" s="209" t="s">
        <v>158</v>
      </c>
      <c r="G137" s="235">
        <v>3</v>
      </c>
      <c r="H137" s="212">
        <v>1644.27</v>
      </c>
      <c r="I137" s="212">
        <f t="shared" si="16"/>
        <v>1918.37</v>
      </c>
      <c r="J137" s="212">
        <f t="shared" si="17"/>
        <v>5755.11</v>
      </c>
      <c r="K137" s="56"/>
      <c r="L137" s="58"/>
      <c r="M137" s="58"/>
    </row>
    <row r="138" spans="1:13" s="164" customFormat="1" x14ac:dyDescent="0.2">
      <c r="A138" s="266" t="s">
        <v>573</v>
      </c>
      <c r="B138" s="220" t="s">
        <v>834</v>
      </c>
      <c r="C138" s="220" t="s">
        <v>57</v>
      </c>
      <c r="D138" s="210" t="s">
        <v>49</v>
      </c>
      <c r="E138" s="211" t="s">
        <v>292</v>
      </c>
      <c r="F138" s="209" t="s">
        <v>158</v>
      </c>
      <c r="G138" s="235">
        <v>1</v>
      </c>
      <c r="H138" s="212">
        <v>486.59</v>
      </c>
      <c r="I138" s="212">
        <f t="shared" si="16"/>
        <v>567.70000000000005</v>
      </c>
      <c r="J138" s="212">
        <f t="shared" si="17"/>
        <v>567.70000000000005</v>
      </c>
      <c r="K138" s="56"/>
      <c r="L138" s="58"/>
      <c r="M138" s="58"/>
    </row>
    <row r="139" spans="1:13" s="164" customFormat="1" ht="38.25" x14ac:dyDescent="0.2">
      <c r="A139" s="266" t="s">
        <v>574</v>
      </c>
      <c r="B139" s="220" t="s">
        <v>835</v>
      </c>
      <c r="C139" s="220" t="s">
        <v>57</v>
      </c>
      <c r="D139" s="210" t="s">
        <v>49</v>
      </c>
      <c r="E139" s="211" t="s">
        <v>293</v>
      </c>
      <c r="F139" s="209" t="s">
        <v>96</v>
      </c>
      <c r="G139" s="235">
        <v>3</v>
      </c>
      <c r="H139" s="212">
        <v>1187.52</v>
      </c>
      <c r="I139" s="212">
        <f t="shared" si="16"/>
        <v>1385.48</v>
      </c>
      <c r="J139" s="212">
        <f t="shared" si="17"/>
        <v>4156.4399999999996</v>
      </c>
      <c r="K139" s="56"/>
      <c r="L139" s="58"/>
      <c r="M139" s="58"/>
    </row>
    <row r="140" spans="1:13" s="164" customFormat="1" x14ac:dyDescent="0.2">
      <c r="A140" s="266" t="s">
        <v>575</v>
      </c>
      <c r="B140" s="220" t="s">
        <v>808</v>
      </c>
      <c r="C140" s="220" t="s">
        <v>57</v>
      </c>
      <c r="D140" s="210" t="s">
        <v>49</v>
      </c>
      <c r="E140" s="211" t="s">
        <v>836</v>
      </c>
      <c r="F140" s="209" t="s">
        <v>96</v>
      </c>
      <c r="G140" s="235">
        <v>1</v>
      </c>
      <c r="H140" s="212">
        <v>2011.99</v>
      </c>
      <c r="I140" s="212">
        <f t="shared" si="16"/>
        <v>2347.39</v>
      </c>
      <c r="J140" s="212">
        <f t="shared" si="17"/>
        <v>2347.39</v>
      </c>
      <c r="K140" s="56"/>
      <c r="L140" s="58"/>
      <c r="M140" s="58"/>
    </row>
    <row r="141" spans="1:13" s="164" customFormat="1" x14ac:dyDescent="0.2">
      <c r="A141" s="266" t="s">
        <v>576</v>
      </c>
      <c r="B141" s="220" t="s">
        <v>799</v>
      </c>
      <c r="C141" s="220" t="s">
        <v>57</v>
      </c>
      <c r="D141" s="210" t="s">
        <v>49</v>
      </c>
      <c r="E141" s="211" t="s">
        <v>294</v>
      </c>
      <c r="F141" s="209" t="s">
        <v>158</v>
      </c>
      <c r="G141" s="235">
        <v>2</v>
      </c>
      <c r="H141" s="212">
        <v>850.86</v>
      </c>
      <c r="I141" s="212">
        <f t="shared" si="16"/>
        <v>992.7</v>
      </c>
      <c r="J141" s="212">
        <f t="shared" si="17"/>
        <v>1985.4</v>
      </c>
      <c r="K141" s="56"/>
      <c r="L141" s="58"/>
      <c r="M141" s="58"/>
    </row>
    <row r="142" spans="1:13" s="164" customFormat="1" ht="25.5" x14ac:dyDescent="0.2">
      <c r="A142" s="266" t="s">
        <v>1109</v>
      </c>
      <c r="B142" s="220" t="s">
        <v>826</v>
      </c>
      <c r="C142" s="220" t="s">
        <v>57</v>
      </c>
      <c r="D142" s="210" t="s">
        <v>49</v>
      </c>
      <c r="E142" s="211" t="s">
        <v>295</v>
      </c>
      <c r="F142" s="209" t="s">
        <v>68</v>
      </c>
      <c r="G142" s="235">
        <v>3</v>
      </c>
      <c r="H142" s="212">
        <v>21200</v>
      </c>
      <c r="I142" s="212">
        <f t="shared" si="16"/>
        <v>24734.04</v>
      </c>
      <c r="J142" s="212">
        <f t="shared" si="17"/>
        <v>74202.12</v>
      </c>
      <c r="K142" s="56"/>
      <c r="L142" s="58"/>
      <c r="M142" s="58"/>
    </row>
    <row r="143" spans="1:13" s="164" customFormat="1" x14ac:dyDescent="0.2">
      <c r="A143" s="287"/>
      <c r="B143" s="288"/>
      <c r="C143" s="288"/>
      <c r="D143" s="289"/>
      <c r="E143" s="290" t="s">
        <v>296</v>
      </c>
      <c r="F143" s="291"/>
      <c r="G143" s="292"/>
      <c r="H143" s="293">
        <v>0</v>
      </c>
      <c r="I143" s="293">
        <f t="shared" ref="I143:I148" si="18">ROUND(IF(D143="S",(H143*(1+$I$7)),(H143*(1+$I$8))),2)</f>
        <v>0</v>
      </c>
      <c r="J143" s="293">
        <f t="shared" ref="J143:J148" si="19">ROUND(G143*I143,2)</f>
        <v>0</v>
      </c>
      <c r="K143" s="56"/>
      <c r="L143" s="58"/>
      <c r="M143" s="58"/>
    </row>
    <row r="144" spans="1:13" s="164" customFormat="1" x14ac:dyDescent="0.2">
      <c r="A144" s="266" t="s">
        <v>1042</v>
      </c>
      <c r="B144" s="220" t="s">
        <v>837</v>
      </c>
      <c r="C144" s="220" t="s">
        <v>57</v>
      </c>
      <c r="D144" s="210" t="s">
        <v>49</v>
      </c>
      <c r="E144" s="211" t="s">
        <v>297</v>
      </c>
      <c r="F144" s="209" t="s">
        <v>68</v>
      </c>
      <c r="G144" s="235">
        <v>1</v>
      </c>
      <c r="H144" s="212">
        <v>1429</v>
      </c>
      <c r="I144" s="212">
        <f t="shared" si="18"/>
        <v>1667.21</v>
      </c>
      <c r="J144" s="212">
        <f t="shared" si="19"/>
        <v>1667.21</v>
      </c>
      <c r="K144" s="56"/>
      <c r="L144" s="58"/>
      <c r="M144" s="58"/>
    </row>
    <row r="145" spans="1:13" s="191" customFormat="1" ht="25.5" x14ac:dyDescent="0.2">
      <c r="A145" s="266" t="s">
        <v>610</v>
      </c>
      <c r="B145" s="220" t="s">
        <v>1082</v>
      </c>
      <c r="C145" s="220" t="s">
        <v>57</v>
      </c>
      <c r="D145" s="210" t="s">
        <v>49</v>
      </c>
      <c r="E145" s="211" t="s">
        <v>936</v>
      </c>
      <c r="F145" s="209" t="s">
        <v>158</v>
      </c>
      <c r="G145" s="235">
        <v>24</v>
      </c>
      <c r="H145" s="212">
        <v>19.04</v>
      </c>
      <c r="I145" s="212">
        <f t="shared" si="18"/>
        <v>22.21</v>
      </c>
      <c r="J145" s="212">
        <f t="shared" si="19"/>
        <v>533.04</v>
      </c>
      <c r="K145" s="56"/>
      <c r="L145" s="58"/>
      <c r="M145" s="58"/>
    </row>
    <row r="146" spans="1:13" s="191" customFormat="1" ht="25.5" x14ac:dyDescent="0.2">
      <c r="A146" s="266" t="s">
        <v>1039</v>
      </c>
      <c r="B146" s="220" t="s">
        <v>1082</v>
      </c>
      <c r="C146" s="220" t="s">
        <v>57</v>
      </c>
      <c r="D146" s="210" t="s">
        <v>49</v>
      </c>
      <c r="E146" s="211" t="s">
        <v>937</v>
      </c>
      <c r="F146" s="209" t="s">
        <v>158</v>
      </c>
      <c r="G146" s="235">
        <v>32</v>
      </c>
      <c r="H146" s="212">
        <v>20.88</v>
      </c>
      <c r="I146" s="212">
        <f t="shared" si="18"/>
        <v>24.36</v>
      </c>
      <c r="J146" s="212">
        <f t="shared" si="19"/>
        <v>779.52</v>
      </c>
      <c r="K146" s="56"/>
      <c r="L146" s="58"/>
      <c r="M146" s="58"/>
    </row>
    <row r="147" spans="1:13" s="191" customFormat="1" ht="25.5" x14ac:dyDescent="0.2">
      <c r="A147" s="266" t="s">
        <v>1040</v>
      </c>
      <c r="B147" s="220" t="s">
        <v>842</v>
      </c>
      <c r="C147" s="220" t="s">
        <v>57</v>
      </c>
      <c r="D147" s="210" t="s">
        <v>49</v>
      </c>
      <c r="E147" s="211" t="s">
        <v>1009</v>
      </c>
      <c r="F147" s="209" t="s">
        <v>68</v>
      </c>
      <c r="G147" s="235">
        <v>192</v>
      </c>
      <c r="H147" s="212">
        <v>19.75</v>
      </c>
      <c r="I147" s="212">
        <f t="shared" si="18"/>
        <v>23.04</v>
      </c>
      <c r="J147" s="212">
        <f t="shared" si="19"/>
        <v>4423.68</v>
      </c>
      <c r="K147" s="56"/>
      <c r="L147" s="58"/>
      <c r="M147" s="58"/>
    </row>
    <row r="148" spans="1:13" s="191" customFormat="1" ht="25.5" x14ac:dyDescent="0.2">
      <c r="A148" s="266" t="s">
        <v>1041</v>
      </c>
      <c r="B148" s="220" t="s">
        <v>843</v>
      </c>
      <c r="C148" s="220" t="s">
        <v>57</v>
      </c>
      <c r="D148" s="210" t="s">
        <v>49</v>
      </c>
      <c r="E148" s="211" t="s">
        <v>1010</v>
      </c>
      <c r="F148" s="209" t="s">
        <v>68</v>
      </c>
      <c r="G148" s="235">
        <v>256</v>
      </c>
      <c r="H148" s="212">
        <v>36.5</v>
      </c>
      <c r="I148" s="212">
        <f t="shared" si="18"/>
        <v>42.58</v>
      </c>
      <c r="J148" s="212">
        <f t="shared" si="19"/>
        <v>10900.48</v>
      </c>
      <c r="K148" s="56"/>
      <c r="L148" s="58"/>
      <c r="M148" s="58"/>
    </row>
    <row r="149" spans="1:13" s="164" customFormat="1" x14ac:dyDescent="0.2">
      <c r="A149" s="282" t="s">
        <v>228</v>
      </c>
      <c r="B149" s="276"/>
      <c r="C149" s="276"/>
      <c r="D149" s="276"/>
      <c r="E149" s="277" t="s">
        <v>670</v>
      </c>
      <c r="F149" s="276"/>
      <c r="G149" s="278"/>
      <c r="H149" s="279">
        <v>0</v>
      </c>
      <c r="I149" s="280"/>
      <c r="J149" s="280">
        <f>SUBTOTAL(9,J150:J160)</f>
        <v>6383.45</v>
      </c>
      <c r="K149" s="56"/>
      <c r="L149" s="58"/>
      <c r="M149" s="58"/>
    </row>
    <row r="150" spans="1:13" s="164" customFormat="1" ht="25.5" x14ac:dyDescent="0.2">
      <c r="A150" s="266" t="s">
        <v>611</v>
      </c>
      <c r="B150" s="220" t="s">
        <v>1022</v>
      </c>
      <c r="C150" s="220" t="s">
        <v>365</v>
      </c>
      <c r="D150" s="210" t="s">
        <v>32</v>
      </c>
      <c r="E150" s="211" t="s">
        <v>281</v>
      </c>
      <c r="F150" s="209" t="s">
        <v>158</v>
      </c>
      <c r="G150" s="235">
        <v>3</v>
      </c>
      <c r="H150" s="212">
        <v>29.68</v>
      </c>
      <c r="I150" s="212">
        <f t="shared" ref="I150:I160" si="20">ROUND(IF(D150="S",(H150*(1+$I$7)),(H150*(1+$I$8))),2)</f>
        <v>38.6</v>
      </c>
      <c r="J150" s="212">
        <f t="shared" ref="J150:J160" si="21">ROUND(G150*I150,2)</f>
        <v>115.8</v>
      </c>
      <c r="K150" s="56"/>
      <c r="L150" s="58"/>
      <c r="M150" s="58"/>
    </row>
    <row r="151" spans="1:13" s="164" customFormat="1" ht="25.5" x14ac:dyDescent="0.2">
      <c r="A151" s="266" t="s">
        <v>1030</v>
      </c>
      <c r="B151" s="220" t="s">
        <v>945</v>
      </c>
      <c r="C151" s="220" t="s">
        <v>365</v>
      </c>
      <c r="D151" s="210" t="s">
        <v>32</v>
      </c>
      <c r="E151" s="211" t="s">
        <v>266</v>
      </c>
      <c r="F151" s="209" t="s">
        <v>158</v>
      </c>
      <c r="G151" s="235">
        <v>6</v>
      </c>
      <c r="H151" s="212">
        <v>11.23</v>
      </c>
      <c r="I151" s="212">
        <f t="shared" si="20"/>
        <v>14.6</v>
      </c>
      <c r="J151" s="212">
        <f t="shared" si="21"/>
        <v>87.6</v>
      </c>
      <c r="K151" s="56"/>
      <c r="L151" s="58"/>
      <c r="M151" s="58"/>
    </row>
    <row r="152" spans="1:13" s="164" customFormat="1" ht="25.5" x14ac:dyDescent="0.2">
      <c r="A152" s="266" t="s">
        <v>1031</v>
      </c>
      <c r="B152" s="220" t="s">
        <v>1020</v>
      </c>
      <c r="C152" s="220" t="s">
        <v>365</v>
      </c>
      <c r="D152" s="210" t="s">
        <v>32</v>
      </c>
      <c r="E152" s="211" t="s">
        <v>289</v>
      </c>
      <c r="F152" s="209" t="s">
        <v>158</v>
      </c>
      <c r="G152" s="235">
        <v>3</v>
      </c>
      <c r="H152" s="212">
        <v>11.23</v>
      </c>
      <c r="I152" s="212">
        <f t="shared" si="20"/>
        <v>14.6</v>
      </c>
      <c r="J152" s="212">
        <f t="shared" si="21"/>
        <v>43.8</v>
      </c>
      <c r="K152" s="56"/>
      <c r="L152" s="58"/>
      <c r="M152" s="58"/>
    </row>
    <row r="153" spans="1:13" s="164" customFormat="1" ht="25.5" x14ac:dyDescent="0.2">
      <c r="A153" s="266" t="s">
        <v>1032</v>
      </c>
      <c r="B153" s="220" t="s">
        <v>1022</v>
      </c>
      <c r="C153" s="220" t="s">
        <v>365</v>
      </c>
      <c r="D153" s="210" t="s">
        <v>32</v>
      </c>
      <c r="E153" s="211" t="s">
        <v>290</v>
      </c>
      <c r="F153" s="209" t="s">
        <v>158</v>
      </c>
      <c r="G153" s="235">
        <v>3</v>
      </c>
      <c r="H153" s="212">
        <v>29.68</v>
      </c>
      <c r="I153" s="212">
        <f t="shared" si="20"/>
        <v>38.6</v>
      </c>
      <c r="J153" s="212">
        <f t="shared" si="21"/>
        <v>115.8</v>
      </c>
      <c r="K153" s="56"/>
      <c r="L153" s="58"/>
      <c r="M153" s="58"/>
    </row>
    <row r="154" spans="1:13" s="192" customFormat="1" ht="38.25" x14ac:dyDescent="0.2">
      <c r="A154" s="266" t="s">
        <v>1033</v>
      </c>
      <c r="B154" s="220" t="s">
        <v>977</v>
      </c>
      <c r="C154" s="220" t="s">
        <v>44</v>
      </c>
      <c r="D154" s="210" t="s">
        <v>32</v>
      </c>
      <c r="E154" s="211" t="s">
        <v>976</v>
      </c>
      <c r="F154" s="209" t="s">
        <v>45</v>
      </c>
      <c r="G154" s="235">
        <v>12</v>
      </c>
      <c r="H154" s="212">
        <v>123.73</v>
      </c>
      <c r="I154" s="212">
        <f t="shared" si="20"/>
        <v>160.91</v>
      </c>
      <c r="J154" s="212">
        <f t="shared" si="21"/>
        <v>1930.92</v>
      </c>
      <c r="K154" s="56"/>
      <c r="L154" s="58"/>
      <c r="M154" s="58"/>
    </row>
    <row r="155" spans="1:13" s="192" customFormat="1" ht="38.25" x14ac:dyDescent="0.2">
      <c r="A155" s="266" t="s">
        <v>612</v>
      </c>
      <c r="B155" s="220" t="s">
        <v>982</v>
      </c>
      <c r="C155" s="220" t="s">
        <v>44</v>
      </c>
      <c r="D155" s="210" t="s">
        <v>32</v>
      </c>
      <c r="E155" s="211" t="s">
        <v>983</v>
      </c>
      <c r="F155" s="209" t="s">
        <v>45</v>
      </c>
      <c r="G155" s="235">
        <v>12</v>
      </c>
      <c r="H155" s="212">
        <v>58.17</v>
      </c>
      <c r="I155" s="212">
        <f t="shared" si="20"/>
        <v>75.650000000000006</v>
      </c>
      <c r="J155" s="212">
        <f t="shared" si="21"/>
        <v>907.8</v>
      </c>
      <c r="K155" s="56"/>
      <c r="L155" s="58"/>
      <c r="M155" s="58"/>
    </row>
    <row r="156" spans="1:13" s="192" customFormat="1" ht="25.5" x14ac:dyDescent="0.2">
      <c r="A156" s="266" t="s">
        <v>1034</v>
      </c>
      <c r="B156" s="220" t="s">
        <v>1004</v>
      </c>
      <c r="C156" s="220" t="s">
        <v>44</v>
      </c>
      <c r="D156" s="210" t="s">
        <v>32</v>
      </c>
      <c r="E156" s="211" t="s">
        <v>1005</v>
      </c>
      <c r="F156" s="209" t="s">
        <v>68</v>
      </c>
      <c r="G156" s="235">
        <v>1</v>
      </c>
      <c r="H156" s="212">
        <v>455.4</v>
      </c>
      <c r="I156" s="212">
        <f t="shared" si="20"/>
        <v>592.25</v>
      </c>
      <c r="J156" s="212">
        <f t="shared" si="21"/>
        <v>592.25</v>
      </c>
      <c r="K156" s="56"/>
      <c r="L156" s="58"/>
      <c r="M156" s="58"/>
    </row>
    <row r="157" spans="1:13" s="192" customFormat="1" ht="38.25" x14ac:dyDescent="0.2">
      <c r="A157" s="266" t="s">
        <v>1035</v>
      </c>
      <c r="B157" s="220" t="s">
        <v>993</v>
      </c>
      <c r="C157" s="220" t="s">
        <v>44</v>
      </c>
      <c r="D157" s="210" t="s">
        <v>32</v>
      </c>
      <c r="E157" s="211" t="s">
        <v>1003</v>
      </c>
      <c r="F157" s="209" t="s">
        <v>45</v>
      </c>
      <c r="G157" s="235">
        <v>1</v>
      </c>
      <c r="H157" s="212">
        <v>68.19</v>
      </c>
      <c r="I157" s="212">
        <f t="shared" si="20"/>
        <v>88.68</v>
      </c>
      <c r="J157" s="212">
        <f t="shared" si="21"/>
        <v>88.68</v>
      </c>
      <c r="K157" s="56"/>
      <c r="L157" s="58"/>
      <c r="M157" s="58"/>
    </row>
    <row r="158" spans="1:13" s="192" customFormat="1" ht="38.25" x14ac:dyDescent="0.2">
      <c r="A158" s="266" t="s">
        <v>1036</v>
      </c>
      <c r="B158" s="220" t="s">
        <v>1001</v>
      </c>
      <c r="C158" s="220" t="s">
        <v>44</v>
      </c>
      <c r="D158" s="210" t="s">
        <v>32</v>
      </c>
      <c r="E158" s="211" t="s">
        <v>1002</v>
      </c>
      <c r="F158" s="209" t="s">
        <v>45</v>
      </c>
      <c r="G158" s="235">
        <v>3</v>
      </c>
      <c r="H158" s="212">
        <v>179.28</v>
      </c>
      <c r="I158" s="212">
        <f t="shared" si="20"/>
        <v>233.15</v>
      </c>
      <c r="J158" s="212">
        <f t="shared" si="21"/>
        <v>699.45</v>
      </c>
      <c r="K158" s="56"/>
      <c r="L158" s="58"/>
      <c r="M158" s="58"/>
    </row>
    <row r="159" spans="1:13" s="192" customFormat="1" ht="38.25" x14ac:dyDescent="0.2">
      <c r="A159" s="266" t="s">
        <v>1037</v>
      </c>
      <c r="B159" s="220" t="s">
        <v>947</v>
      </c>
      <c r="C159" s="220" t="s">
        <v>44</v>
      </c>
      <c r="D159" s="210" t="s">
        <v>32</v>
      </c>
      <c r="E159" s="211" t="s">
        <v>1000</v>
      </c>
      <c r="F159" s="209" t="s">
        <v>45</v>
      </c>
      <c r="G159" s="235">
        <v>15</v>
      </c>
      <c r="H159" s="212">
        <v>75.069999999999993</v>
      </c>
      <c r="I159" s="212">
        <f t="shared" si="20"/>
        <v>97.63</v>
      </c>
      <c r="J159" s="212">
        <f t="shared" si="21"/>
        <v>1464.45</v>
      </c>
      <c r="K159" s="56"/>
      <c r="L159" s="58"/>
      <c r="M159" s="58"/>
    </row>
    <row r="160" spans="1:13" s="192" customFormat="1" ht="25.5" x14ac:dyDescent="0.2">
      <c r="A160" s="266" t="s">
        <v>1038</v>
      </c>
      <c r="B160" s="220" t="s">
        <v>978</v>
      </c>
      <c r="C160" s="220" t="s">
        <v>44</v>
      </c>
      <c r="D160" s="210" t="s">
        <v>32</v>
      </c>
      <c r="E160" s="211" t="s">
        <v>979</v>
      </c>
      <c r="F160" s="209" t="s">
        <v>35</v>
      </c>
      <c r="G160" s="235">
        <v>9.4</v>
      </c>
      <c r="H160" s="212">
        <v>27.56</v>
      </c>
      <c r="I160" s="212">
        <f t="shared" si="20"/>
        <v>35.840000000000003</v>
      </c>
      <c r="J160" s="212">
        <f t="shared" si="21"/>
        <v>336.9</v>
      </c>
      <c r="K160" s="56"/>
      <c r="L160" s="58"/>
      <c r="M160" s="58"/>
    </row>
    <row r="161" spans="1:17" x14ac:dyDescent="0.2">
      <c r="A161" s="282" t="s">
        <v>527</v>
      </c>
      <c r="B161" s="276"/>
      <c r="C161" s="276"/>
      <c r="D161" s="276"/>
      <c r="E161" s="277" t="s">
        <v>298</v>
      </c>
      <c r="F161" s="276"/>
      <c r="G161" s="278"/>
      <c r="H161" s="279">
        <v>0</v>
      </c>
      <c r="I161" s="280"/>
      <c r="J161" s="280">
        <f>SUBTOTAL(9,J162:J162)</f>
        <v>6525.02</v>
      </c>
      <c r="K161" s="56"/>
      <c r="L161" s="58"/>
      <c r="M161" s="58"/>
    </row>
    <row r="162" spans="1:17" s="163" customFormat="1" x14ac:dyDescent="0.2">
      <c r="A162" s="267" t="s">
        <v>544</v>
      </c>
      <c r="B162" s="220">
        <v>88489</v>
      </c>
      <c r="C162" s="220" t="s">
        <v>1132</v>
      </c>
      <c r="D162" s="214" t="s">
        <v>32</v>
      </c>
      <c r="E162" s="215" t="s">
        <v>67</v>
      </c>
      <c r="F162" s="213" t="s">
        <v>92</v>
      </c>
      <c r="G162" s="236">
        <v>400.79999999999995</v>
      </c>
      <c r="H162" s="216">
        <v>12.52</v>
      </c>
      <c r="I162" s="216">
        <f>ROUND(IF(D162="S",(H162*(1+$I$7)),(H162*(1+$I$8))),2)</f>
        <v>16.28</v>
      </c>
      <c r="J162" s="216">
        <f>ROUND(G162*I162,2)</f>
        <v>6525.02</v>
      </c>
      <c r="K162" s="56"/>
      <c r="L162" s="58"/>
      <c r="M162" s="58"/>
    </row>
    <row r="163" spans="1:17" x14ac:dyDescent="0.2">
      <c r="E163" s="72"/>
      <c r="H163" s="239"/>
      <c r="I163" s="239"/>
      <c r="J163" s="228"/>
    </row>
    <row r="164" spans="1:17" x14ac:dyDescent="0.2">
      <c r="E164" s="72"/>
      <c r="H164" s="239"/>
      <c r="I164" s="239"/>
    </row>
    <row r="165" spans="1:17" x14ac:dyDescent="0.2">
      <c r="E165" s="72"/>
      <c r="H165" s="239"/>
      <c r="I165" s="239"/>
    </row>
    <row r="166" spans="1:17" x14ac:dyDescent="0.2">
      <c r="E166" s="72"/>
      <c r="H166" s="239"/>
      <c r="I166" s="239"/>
    </row>
    <row r="167" spans="1:17" x14ac:dyDescent="0.2">
      <c r="E167" s="72"/>
      <c r="H167" s="239"/>
      <c r="I167" s="239"/>
    </row>
    <row r="168" spans="1:17" x14ac:dyDescent="0.2">
      <c r="E168" s="72"/>
      <c r="H168" s="239"/>
      <c r="I168" s="239"/>
    </row>
    <row r="169" spans="1:17" x14ac:dyDescent="0.2">
      <c r="E169" s="72"/>
      <c r="H169" s="239"/>
      <c r="I169" s="239"/>
    </row>
    <row r="170" spans="1:17" x14ac:dyDescent="0.2">
      <c r="E170" s="72"/>
      <c r="H170" s="239"/>
      <c r="I170" s="239"/>
    </row>
    <row r="174" spans="1:17" x14ac:dyDescent="0.2">
      <c r="H174" s="240"/>
      <c r="I174" s="240"/>
      <c r="J174" s="240"/>
      <c r="K174" s="182"/>
      <c r="L174" s="183"/>
      <c r="M174" s="182"/>
      <c r="N174" s="184"/>
      <c r="O174" s="185"/>
      <c r="P174" s="186"/>
      <c r="Q174" s="186"/>
    </row>
  </sheetData>
  <mergeCells count="10">
    <mergeCell ref="F6:H6"/>
    <mergeCell ref="F7:H7"/>
    <mergeCell ref="F8:H8"/>
    <mergeCell ref="A6:E8"/>
    <mergeCell ref="F1:J4"/>
    <mergeCell ref="A5:J5"/>
    <mergeCell ref="B1:E1"/>
    <mergeCell ref="B2:E2"/>
    <mergeCell ref="B3:E3"/>
    <mergeCell ref="B4:E4"/>
  </mergeCells>
  <phoneticPr fontId="11" type="noConversion"/>
  <printOptions horizontalCentered="1"/>
  <pageMargins left="0.70866141732283472" right="0.70866141732283472" top="0.74803149606299213" bottom="0.74803149606299213" header="0" footer="0"/>
  <pageSetup scale="57" orientation="landscape" r:id="rId1"/>
  <headerFooter>
    <oddFooter>&amp;CPágina &amp;P de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96"/>
  <sheetViews>
    <sheetView view="pageBreakPreview" zoomScale="85" zoomScaleNormal="70" zoomScaleSheetLayoutView="85" workbookViewId="0">
      <selection activeCell="F25" sqref="F25"/>
    </sheetView>
  </sheetViews>
  <sheetFormatPr defaultColWidth="12.5703125" defaultRowHeight="12.75" x14ac:dyDescent="0.2"/>
  <cols>
    <col min="1" max="1" width="16.7109375" style="260" customWidth="1"/>
    <col min="2" max="3" width="16.7109375" style="218" customWidth="1"/>
    <col min="4" max="4" width="5.7109375" style="160" customWidth="1"/>
    <col min="5" max="5" width="70.7109375" customWidth="1"/>
    <col min="6" max="6" width="10.7109375" customWidth="1"/>
    <col min="7" max="10" width="17.7109375" style="230" customWidth="1"/>
  </cols>
  <sheetData>
    <row r="1" spans="1:15" ht="15" x14ac:dyDescent="0.2">
      <c r="A1" s="261" t="s">
        <v>0</v>
      </c>
      <c r="B1" s="371" t="s">
        <v>1</v>
      </c>
      <c r="C1" s="372"/>
      <c r="D1" s="373"/>
      <c r="E1" s="374"/>
      <c r="F1" s="322" t="s">
        <v>2</v>
      </c>
      <c r="G1" s="342"/>
      <c r="H1" s="342"/>
      <c r="I1" s="342"/>
      <c r="J1" s="343"/>
      <c r="K1" s="167"/>
      <c r="L1" s="167"/>
      <c r="M1" s="167"/>
      <c r="N1" s="167"/>
      <c r="O1" s="167"/>
    </row>
    <row r="2" spans="1:15" ht="15" x14ac:dyDescent="0.2">
      <c r="A2" s="262" t="s">
        <v>3</v>
      </c>
      <c r="B2" s="375" t="s">
        <v>4</v>
      </c>
      <c r="C2" s="352"/>
      <c r="D2" s="351"/>
      <c r="E2" s="376"/>
      <c r="F2" s="344"/>
      <c r="G2" s="345"/>
      <c r="H2" s="345"/>
      <c r="I2" s="345"/>
      <c r="J2" s="346"/>
      <c r="K2" s="167"/>
      <c r="L2" s="167"/>
      <c r="M2" s="167"/>
      <c r="N2" s="167"/>
      <c r="O2" s="167"/>
    </row>
    <row r="3" spans="1:15" ht="15" x14ac:dyDescent="0.2">
      <c r="A3" s="262" t="s">
        <v>5</v>
      </c>
      <c r="B3" s="377" t="s">
        <v>6</v>
      </c>
      <c r="C3" s="353"/>
      <c r="D3" s="351"/>
      <c r="E3" s="376"/>
      <c r="F3" s="344"/>
      <c r="G3" s="345"/>
      <c r="H3" s="345"/>
      <c r="I3" s="345"/>
      <c r="J3" s="346"/>
      <c r="K3" s="167"/>
      <c r="L3" s="167"/>
      <c r="M3" s="167"/>
      <c r="N3" s="167"/>
      <c r="O3" s="167"/>
    </row>
    <row r="4" spans="1:15" ht="15" x14ac:dyDescent="0.2">
      <c r="A4" s="263" t="s">
        <v>7</v>
      </c>
      <c r="B4" s="364"/>
      <c r="C4" s="365"/>
      <c r="D4" s="340"/>
      <c r="E4" s="366"/>
      <c r="F4" s="362"/>
      <c r="G4" s="363"/>
      <c r="H4" s="363"/>
      <c r="I4" s="363"/>
      <c r="J4" s="346"/>
      <c r="K4" s="167"/>
      <c r="L4" s="167"/>
      <c r="M4" s="167"/>
      <c r="N4" s="167"/>
      <c r="O4" s="167"/>
    </row>
    <row r="5" spans="1:15" ht="15" x14ac:dyDescent="0.2">
      <c r="A5" s="367" t="s">
        <v>8</v>
      </c>
      <c r="B5" s="368"/>
      <c r="C5" s="368"/>
      <c r="D5" s="368"/>
      <c r="E5" s="368"/>
      <c r="F5" s="368"/>
      <c r="G5" s="368"/>
      <c r="H5" s="368"/>
      <c r="I5" s="368"/>
      <c r="J5" s="368"/>
      <c r="K5" s="167"/>
      <c r="L5" s="167"/>
      <c r="M5" s="167"/>
      <c r="N5" s="167"/>
      <c r="O5" s="167"/>
    </row>
    <row r="6" spans="1:15" ht="15" x14ac:dyDescent="0.2">
      <c r="A6" s="360" t="s">
        <v>331</v>
      </c>
      <c r="B6" s="319"/>
      <c r="C6" s="319"/>
      <c r="D6" s="319"/>
      <c r="E6" s="325"/>
      <c r="F6" s="380" t="s">
        <v>9</v>
      </c>
      <c r="G6" s="341"/>
      <c r="H6" s="327"/>
      <c r="I6" s="231" t="s">
        <v>1140</v>
      </c>
      <c r="J6" s="232"/>
      <c r="K6" s="167"/>
      <c r="L6" s="167"/>
      <c r="M6" s="167"/>
      <c r="N6" s="167"/>
      <c r="O6" s="167"/>
    </row>
    <row r="7" spans="1:15" ht="15" x14ac:dyDescent="0.2">
      <c r="A7" s="378"/>
      <c r="B7" s="379"/>
      <c r="C7" s="379"/>
      <c r="D7" s="379"/>
      <c r="E7" s="325"/>
      <c r="F7" s="381" t="s">
        <v>10</v>
      </c>
      <c r="G7" s="351"/>
      <c r="H7" s="376"/>
      <c r="I7" s="254">
        <f>BDI!C20</f>
        <v>0.30049999999999999</v>
      </c>
      <c r="J7" s="233"/>
      <c r="K7" s="167"/>
      <c r="L7" s="167"/>
      <c r="M7" s="167"/>
      <c r="N7" s="167"/>
      <c r="O7" s="167"/>
    </row>
    <row r="8" spans="1:15" ht="15" x14ac:dyDescent="0.2">
      <c r="A8" s="326"/>
      <c r="B8" s="341"/>
      <c r="C8" s="341"/>
      <c r="D8" s="341"/>
      <c r="E8" s="327"/>
      <c r="F8" s="382" t="s">
        <v>11</v>
      </c>
      <c r="G8" s="351"/>
      <c r="H8" s="376"/>
      <c r="I8" s="254">
        <f>BDI!G20</f>
        <v>0.19900000000000001</v>
      </c>
      <c r="J8" s="234"/>
      <c r="K8" s="167"/>
      <c r="L8" s="167"/>
      <c r="M8" s="167"/>
      <c r="N8" s="167"/>
      <c r="O8" s="167"/>
    </row>
    <row r="9" spans="1:15" ht="30" x14ac:dyDescent="0.2">
      <c r="A9" s="281" t="s">
        <v>12</v>
      </c>
      <c r="B9" s="294" t="s">
        <v>39</v>
      </c>
      <c r="C9" s="294"/>
      <c r="D9" s="294" t="s">
        <v>24</v>
      </c>
      <c r="E9" s="295" t="s">
        <v>25</v>
      </c>
      <c r="F9" s="271" t="s">
        <v>26</v>
      </c>
      <c r="G9" s="296" t="s">
        <v>27</v>
      </c>
      <c r="H9" s="297" t="s">
        <v>40</v>
      </c>
      <c r="I9" s="297" t="s">
        <v>29</v>
      </c>
      <c r="J9" s="297" t="s">
        <v>30</v>
      </c>
      <c r="K9" s="167"/>
      <c r="L9" s="167"/>
      <c r="M9" s="167"/>
      <c r="N9" s="167"/>
      <c r="O9" s="167"/>
    </row>
    <row r="10" spans="1:15" ht="15" x14ac:dyDescent="0.2">
      <c r="A10" s="298">
        <v>9</v>
      </c>
      <c r="B10" s="299"/>
      <c r="C10" s="299"/>
      <c r="D10" s="299"/>
      <c r="E10" s="300" t="s">
        <v>689</v>
      </c>
      <c r="F10" s="301"/>
      <c r="G10" s="302"/>
      <c r="H10" s="303"/>
      <c r="I10" s="304"/>
      <c r="J10" s="304">
        <f>SUBTOTAL(9,J11:J96)</f>
        <v>598507.01000000036</v>
      </c>
      <c r="K10" s="167"/>
      <c r="L10" s="167"/>
      <c r="M10" s="167"/>
      <c r="N10" s="167"/>
      <c r="O10" s="167"/>
    </row>
    <row r="11" spans="1:15" x14ac:dyDescent="0.2">
      <c r="A11" s="282" t="s">
        <v>332</v>
      </c>
      <c r="B11" s="276"/>
      <c r="C11" s="276"/>
      <c r="D11" s="276"/>
      <c r="E11" s="277" t="s">
        <v>91</v>
      </c>
      <c r="F11" s="276"/>
      <c r="G11" s="278"/>
      <c r="H11" s="279"/>
      <c r="I11" s="280"/>
      <c r="J11" s="280">
        <f>SUBTOTAL(9,J12)</f>
        <v>1176.99</v>
      </c>
      <c r="K11" s="167"/>
      <c r="L11" s="167"/>
      <c r="M11" s="167"/>
      <c r="N11" s="167"/>
      <c r="O11" s="167"/>
    </row>
    <row r="12" spans="1:15" s="192" customFormat="1" ht="25.5" x14ac:dyDescent="0.2">
      <c r="A12" s="266" t="s">
        <v>333</v>
      </c>
      <c r="B12" s="220">
        <v>99059</v>
      </c>
      <c r="C12" s="220" t="s">
        <v>1132</v>
      </c>
      <c r="D12" s="210" t="s">
        <v>32</v>
      </c>
      <c r="E12" s="211" t="s">
        <v>150</v>
      </c>
      <c r="F12" s="209" t="s">
        <v>35</v>
      </c>
      <c r="G12" s="235">
        <v>18.850000000000001</v>
      </c>
      <c r="H12" s="212">
        <v>48.01</v>
      </c>
      <c r="I12" s="212">
        <f>ROUND(IF(D12="S",(H12*(1+$I$7)),(H12*(1+$I$8))),2)</f>
        <v>62.44</v>
      </c>
      <c r="J12" s="212">
        <f>ROUND(G12*I12,2)</f>
        <v>1176.99</v>
      </c>
      <c r="K12" s="193"/>
      <c r="L12" s="193"/>
      <c r="M12" s="193"/>
      <c r="N12" s="193"/>
      <c r="O12" s="193"/>
    </row>
    <row r="13" spans="1:15" x14ac:dyDescent="0.2">
      <c r="A13" s="282" t="s">
        <v>613</v>
      </c>
      <c r="B13" s="276"/>
      <c r="C13" s="276"/>
      <c r="D13" s="276"/>
      <c r="E13" s="277" t="s">
        <v>94</v>
      </c>
      <c r="F13" s="276"/>
      <c r="G13" s="278"/>
      <c r="H13" s="279">
        <v>0</v>
      </c>
      <c r="I13" s="280"/>
      <c r="J13" s="280">
        <f>SUBTOTAL(9,J14:J16)</f>
        <v>2890.38</v>
      </c>
      <c r="K13" s="167"/>
      <c r="L13" s="167"/>
      <c r="M13" s="167"/>
      <c r="N13" s="167"/>
      <c r="O13" s="167"/>
    </row>
    <row r="14" spans="1:15" s="192" customFormat="1" ht="25.5" x14ac:dyDescent="0.2">
      <c r="A14" s="266" t="s">
        <v>614</v>
      </c>
      <c r="B14" s="220">
        <v>93358</v>
      </c>
      <c r="C14" s="220" t="s">
        <v>1132</v>
      </c>
      <c r="D14" s="210" t="s">
        <v>32</v>
      </c>
      <c r="E14" s="211" t="s">
        <v>187</v>
      </c>
      <c r="F14" s="209" t="s">
        <v>93</v>
      </c>
      <c r="G14" s="235">
        <v>25.32</v>
      </c>
      <c r="H14" s="212">
        <v>67.599999999999994</v>
      </c>
      <c r="I14" s="212">
        <f>ROUND(IF(D14="S",(H14*(1+$I$7)),(H14*(1+$I$8))),2)</f>
        <v>87.91</v>
      </c>
      <c r="J14" s="212">
        <f>ROUND(G14*I14,2)</f>
        <v>2225.88</v>
      </c>
      <c r="K14" s="193"/>
      <c r="L14" s="193"/>
      <c r="M14" s="193"/>
      <c r="N14" s="193"/>
      <c r="O14" s="193"/>
    </row>
    <row r="15" spans="1:15" s="192" customFormat="1" ht="25.5" x14ac:dyDescent="0.2">
      <c r="A15" s="266" t="s">
        <v>615</v>
      </c>
      <c r="B15" s="220">
        <v>101617</v>
      </c>
      <c r="C15" s="220" t="s">
        <v>1132</v>
      </c>
      <c r="D15" s="210" t="s">
        <v>32</v>
      </c>
      <c r="E15" s="211" t="s">
        <v>210</v>
      </c>
      <c r="F15" s="209" t="s">
        <v>92</v>
      </c>
      <c r="G15" s="235">
        <v>28.27</v>
      </c>
      <c r="H15" s="212">
        <v>2.44</v>
      </c>
      <c r="I15" s="212">
        <f>ROUND(IF(D15="S",(H15*(1+$I$7)),(H15*(1+$I$8))),2)</f>
        <v>3.17</v>
      </c>
      <c r="J15" s="212">
        <f>ROUND(G15*I15,2)</f>
        <v>89.62</v>
      </c>
      <c r="K15" s="193"/>
      <c r="L15" s="193"/>
      <c r="M15" s="193"/>
      <c r="N15" s="193"/>
      <c r="O15" s="193"/>
    </row>
    <row r="16" spans="1:15" s="192" customFormat="1" ht="25.5" x14ac:dyDescent="0.2">
      <c r="A16" s="266" t="s">
        <v>616</v>
      </c>
      <c r="B16" s="220">
        <v>93382</v>
      </c>
      <c r="C16" s="220" t="s">
        <v>1132</v>
      </c>
      <c r="D16" s="210" t="s">
        <v>32</v>
      </c>
      <c r="E16" s="211" t="s">
        <v>209</v>
      </c>
      <c r="F16" s="209" t="s">
        <v>93</v>
      </c>
      <c r="G16" s="235">
        <v>16.77</v>
      </c>
      <c r="H16" s="212">
        <v>26.36</v>
      </c>
      <c r="I16" s="212">
        <f>ROUND(IF(D16="S",(H16*(1+$I$7)),(H16*(1+$I$8))),2)</f>
        <v>34.28</v>
      </c>
      <c r="J16" s="212">
        <f>ROUND(G16*I16,2)</f>
        <v>574.88</v>
      </c>
      <c r="K16" s="193"/>
      <c r="L16" s="193"/>
      <c r="M16" s="193"/>
      <c r="N16" s="193"/>
      <c r="O16" s="193"/>
    </row>
    <row r="17" spans="1:15" x14ac:dyDescent="0.2">
      <c r="A17" s="282" t="s">
        <v>617</v>
      </c>
      <c r="B17" s="276"/>
      <c r="C17" s="276"/>
      <c r="D17" s="276"/>
      <c r="E17" s="277" t="s">
        <v>155</v>
      </c>
      <c r="F17" s="276"/>
      <c r="G17" s="278"/>
      <c r="H17" s="279">
        <v>0</v>
      </c>
      <c r="I17" s="280"/>
      <c r="J17" s="280">
        <f>SUBTOTAL(9,J18)</f>
        <v>611.04</v>
      </c>
      <c r="K17" s="167"/>
      <c r="L17" s="167"/>
      <c r="M17" s="167"/>
      <c r="N17" s="167"/>
      <c r="O17" s="167"/>
    </row>
    <row r="18" spans="1:15" s="192" customFormat="1" ht="25.5" x14ac:dyDescent="0.2">
      <c r="A18" s="266" t="s">
        <v>618</v>
      </c>
      <c r="B18" s="305" t="s">
        <v>1138</v>
      </c>
      <c r="C18" s="220" t="s">
        <v>44</v>
      </c>
      <c r="D18" s="210" t="s">
        <v>32</v>
      </c>
      <c r="E18" s="211" t="s">
        <v>153</v>
      </c>
      <c r="F18" s="209" t="s">
        <v>154</v>
      </c>
      <c r="G18" s="235">
        <v>42.76</v>
      </c>
      <c r="H18" s="212">
        <v>10.99</v>
      </c>
      <c r="I18" s="212">
        <f>ROUND(IF(D18="S",(H18*(1+$I$7)),(H18*(1+$I$8))),2)</f>
        <v>14.29</v>
      </c>
      <c r="J18" s="212">
        <f>ROUND(G18*I18,2)</f>
        <v>611.04</v>
      </c>
      <c r="K18" s="193"/>
      <c r="L18" s="193"/>
      <c r="M18" s="193"/>
      <c r="N18" s="193"/>
      <c r="O18" s="193"/>
    </row>
    <row r="19" spans="1:15" x14ac:dyDescent="0.2">
      <c r="A19" s="282" t="s">
        <v>619</v>
      </c>
      <c r="B19" s="276"/>
      <c r="C19" s="276"/>
      <c r="D19" s="276"/>
      <c r="E19" s="277" t="s">
        <v>186</v>
      </c>
      <c r="F19" s="276"/>
      <c r="G19" s="278"/>
      <c r="H19" s="279">
        <v>0</v>
      </c>
      <c r="I19" s="280"/>
      <c r="J19" s="280">
        <f>SUBTOTAL(9,J20:J37)</f>
        <v>515415.32</v>
      </c>
      <c r="K19" s="167"/>
      <c r="L19" s="167"/>
      <c r="M19" s="167"/>
      <c r="N19" s="167"/>
      <c r="O19" s="167"/>
    </row>
    <row r="20" spans="1:15" s="192" customFormat="1" ht="38.25" x14ac:dyDescent="0.2">
      <c r="A20" s="266" t="s">
        <v>620</v>
      </c>
      <c r="B20" s="220">
        <v>100656</v>
      </c>
      <c r="C20" s="220" t="s">
        <v>1132</v>
      </c>
      <c r="D20" s="210" t="s">
        <v>32</v>
      </c>
      <c r="E20" s="211" t="s">
        <v>211</v>
      </c>
      <c r="F20" s="209" t="s">
        <v>35</v>
      </c>
      <c r="G20" s="235">
        <v>144</v>
      </c>
      <c r="H20" s="212">
        <v>69.91</v>
      </c>
      <c r="I20" s="212">
        <f t="shared" ref="I20:I37" si="0">ROUND(IF(D20="S",(H20*(1+$I$7)),(H20*(1+$I$8))),2)</f>
        <v>90.92</v>
      </c>
      <c r="J20" s="212">
        <f t="shared" ref="J20:J37" si="1">ROUND(G20*I20,2)</f>
        <v>13092.48</v>
      </c>
      <c r="K20" s="193"/>
      <c r="L20" s="193"/>
      <c r="M20" s="193"/>
      <c r="N20" s="193"/>
      <c r="O20" s="193"/>
    </row>
    <row r="21" spans="1:15" s="192" customFormat="1" ht="38.25" x14ac:dyDescent="0.2">
      <c r="A21" s="266" t="s">
        <v>621</v>
      </c>
      <c r="B21" s="220">
        <v>94962</v>
      </c>
      <c r="C21" s="220" t="s">
        <v>1132</v>
      </c>
      <c r="D21" s="210" t="s">
        <v>32</v>
      </c>
      <c r="E21" s="211" t="s">
        <v>193</v>
      </c>
      <c r="F21" s="209" t="s">
        <v>93</v>
      </c>
      <c r="G21" s="235">
        <v>0.94</v>
      </c>
      <c r="H21" s="212">
        <v>360.57</v>
      </c>
      <c r="I21" s="212">
        <f t="shared" si="0"/>
        <v>468.92</v>
      </c>
      <c r="J21" s="212">
        <f t="shared" si="1"/>
        <v>440.78</v>
      </c>
      <c r="K21" s="193"/>
      <c r="L21" s="193"/>
      <c r="M21" s="193"/>
      <c r="N21" s="193"/>
      <c r="O21" s="193"/>
    </row>
    <row r="22" spans="1:15" s="170" customFormat="1" ht="25.5" x14ac:dyDescent="0.2">
      <c r="A22" s="266" t="s">
        <v>622</v>
      </c>
      <c r="B22" s="220" t="s">
        <v>931</v>
      </c>
      <c r="C22" s="220" t="s">
        <v>57</v>
      </c>
      <c r="D22" s="210" t="s">
        <v>32</v>
      </c>
      <c r="E22" s="211" t="s">
        <v>694</v>
      </c>
      <c r="F22" s="209" t="s">
        <v>674</v>
      </c>
      <c r="G22" s="235">
        <v>569.4</v>
      </c>
      <c r="H22" s="212">
        <v>230</v>
      </c>
      <c r="I22" s="212">
        <f t="shared" si="0"/>
        <v>299.12</v>
      </c>
      <c r="J22" s="212">
        <f t="shared" si="1"/>
        <v>170318.93</v>
      </c>
      <c r="K22" s="172"/>
      <c r="L22" s="172"/>
      <c r="M22" s="172"/>
      <c r="N22" s="172"/>
      <c r="O22" s="172"/>
    </row>
    <row r="23" spans="1:15" s="192" customFormat="1" ht="25.5" x14ac:dyDescent="0.2">
      <c r="A23" s="266" t="s">
        <v>623</v>
      </c>
      <c r="B23" s="220">
        <v>92791</v>
      </c>
      <c r="C23" s="220" t="s">
        <v>1132</v>
      </c>
      <c r="D23" s="210" t="s">
        <v>32</v>
      </c>
      <c r="E23" s="211" t="s">
        <v>213</v>
      </c>
      <c r="F23" s="209" t="s">
        <v>162</v>
      </c>
      <c r="G23" s="235">
        <v>93.4</v>
      </c>
      <c r="H23" s="212">
        <v>12.05</v>
      </c>
      <c r="I23" s="212">
        <f t="shared" si="0"/>
        <v>15.67</v>
      </c>
      <c r="J23" s="212">
        <f t="shared" si="1"/>
        <v>1463.58</v>
      </c>
      <c r="K23" s="193"/>
      <c r="L23" s="193"/>
      <c r="M23" s="193"/>
      <c r="N23" s="193"/>
      <c r="O23" s="193"/>
    </row>
    <row r="24" spans="1:15" s="192" customFormat="1" ht="25.5" x14ac:dyDescent="0.2">
      <c r="A24" s="266" t="s">
        <v>624</v>
      </c>
      <c r="B24" s="220">
        <v>92792</v>
      </c>
      <c r="C24" s="220" t="s">
        <v>1132</v>
      </c>
      <c r="D24" s="210" t="s">
        <v>32</v>
      </c>
      <c r="E24" s="211" t="s">
        <v>214</v>
      </c>
      <c r="F24" s="209" t="s">
        <v>162</v>
      </c>
      <c r="G24" s="235">
        <v>457.5</v>
      </c>
      <c r="H24" s="212">
        <v>12.39</v>
      </c>
      <c r="I24" s="212">
        <f t="shared" si="0"/>
        <v>16.11</v>
      </c>
      <c r="J24" s="212">
        <f t="shared" si="1"/>
        <v>7370.33</v>
      </c>
      <c r="K24" s="193"/>
      <c r="L24" s="193"/>
      <c r="M24" s="193"/>
      <c r="N24" s="193"/>
      <c r="O24" s="193"/>
    </row>
    <row r="25" spans="1:15" s="192" customFormat="1" ht="25.5" x14ac:dyDescent="0.2">
      <c r="A25" s="266" t="s">
        <v>625</v>
      </c>
      <c r="B25" s="220">
        <v>92793</v>
      </c>
      <c r="C25" s="220" t="s">
        <v>1132</v>
      </c>
      <c r="D25" s="210" t="s">
        <v>32</v>
      </c>
      <c r="E25" s="211" t="s">
        <v>215</v>
      </c>
      <c r="F25" s="209" t="s">
        <v>162</v>
      </c>
      <c r="G25" s="235">
        <v>188.5</v>
      </c>
      <c r="H25" s="212">
        <v>12.44</v>
      </c>
      <c r="I25" s="212">
        <f t="shared" si="0"/>
        <v>16.18</v>
      </c>
      <c r="J25" s="212">
        <f t="shared" si="1"/>
        <v>3049.93</v>
      </c>
      <c r="K25" s="193"/>
      <c r="L25" s="193"/>
      <c r="M25" s="193"/>
      <c r="N25" s="193"/>
      <c r="O25" s="193"/>
    </row>
    <row r="26" spans="1:15" s="192" customFormat="1" ht="25.5" x14ac:dyDescent="0.2">
      <c r="A26" s="266" t="s">
        <v>626</v>
      </c>
      <c r="B26" s="220">
        <v>92794</v>
      </c>
      <c r="C26" s="220" t="s">
        <v>1132</v>
      </c>
      <c r="D26" s="210" t="s">
        <v>32</v>
      </c>
      <c r="E26" s="211" t="s">
        <v>217</v>
      </c>
      <c r="F26" s="209" t="s">
        <v>162</v>
      </c>
      <c r="G26" s="235">
        <v>1418</v>
      </c>
      <c r="H26" s="212">
        <v>11.52</v>
      </c>
      <c r="I26" s="212">
        <f t="shared" si="0"/>
        <v>14.98</v>
      </c>
      <c r="J26" s="212">
        <f t="shared" si="1"/>
        <v>21241.64</v>
      </c>
      <c r="K26" s="193"/>
      <c r="L26" s="193"/>
      <c r="M26" s="193"/>
      <c r="N26" s="193"/>
      <c r="O26" s="193"/>
    </row>
    <row r="27" spans="1:15" s="192" customFormat="1" ht="25.5" x14ac:dyDescent="0.2">
      <c r="A27" s="266" t="s">
        <v>627</v>
      </c>
      <c r="B27" s="220">
        <v>92795</v>
      </c>
      <c r="C27" s="220" t="s">
        <v>1132</v>
      </c>
      <c r="D27" s="210" t="s">
        <v>32</v>
      </c>
      <c r="E27" s="211" t="s">
        <v>219</v>
      </c>
      <c r="F27" s="209" t="s">
        <v>162</v>
      </c>
      <c r="G27" s="235">
        <v>3225</v>
      </c>
      <c r="H27" s="212">
        <v>9.8800000000000008</v>
      </c>
      <c r="I27" s="212">
        <f t="shared" si="0"/>
        <v>12.85</v>
      </c>
      <c r="J27" s="212">
        <f t="shared" si="1"/>
        <v>41441.25</v>
      </c>
      <c r="K27" s="193"/>
      <c r="L27" s="193"/>
      <c r="M27" s="193"/>
      <c r="N27" s="193"/>
      <c r="O27" s="193"/>
    </row>
    <row r="28" spans="1:15" s="192" customFormat="1" ht="25.5" x14ac:dyDescent="0.2">
      <c r="A28" s="266" t="s">
        <v>628</v>
      </c>
      <c r="B28" s="220">
        <v>92796</v>
      </c>
      <c r="C28" s="220" t="s">
        <v>1132</v>
      </c>
      <c r="D28" s="210" t="s">
        <v>32</v>
      </c>
      <c r="E28" s="211" t="s">
        <v>221</v>
      </c>
      <c r="F28" s="209" t="s">
        <v>162</v>
      </c>
      <c r="G28" s="235">
        <v>3270</v>
      </c>
      <c r="H28" s="212">
        <v>9.8000000000000007</v>
      </c>
      <c r="I28" s="212">
        <f t="shared" si="0"/>
        <v>12.74</v>
      </c>
      <c r="J28" s="212">
        <f t="shared" si="1"/>
        <v>41659.800000000003</v>
      </c>
      <c r="K28" s="193"/>
      <c r="L28" s="193"/>
      <c r="M28" s="193"/>
      <c r="N28" s="193"/>
      <c r="O28" s="193"/>
    </row>
    <row r="29" spans="1:15" s="192" customFormat="1" ht="25.5" x14ac:dyDescent="0.2">
      <c r="A29" s="266" t="s">
        <v>629</v>
      </c>
      <c r="B29" s="220">
        <v>50</v>
      </c>
      <c r="C29" s="220" t="s">
        <v>44</v>
      </c>
      <c r="D29" s="210" t="s">
        <v>32</v>
      </c>
      <c r="E29" s="211" t="s">
        <v>690</v>
      </c>
      <c r="F29" s="209" t="s">
        <v>93</v>
      </c>
      <c r="G29" s="235">
        <v>74.400000000000006</v>
      </c>
      <c r="H29" s="212">
        <v>660.15</v>
      </c>
      <c r="I29" s="212">
        <f t="shared" si="0"/>
        <v>858.53</v>
      </c>
      <c r="J29" s="212">
        <f t="shared" si="1"/>
        <v>63874.63</v>
      </c>
      <c r="K29" s="193"/>
      <c r="L29" s="193"/>
      <c r="M29" s="193"/>
      <c r="N29" s="193"/>
      <c r="O29" s="193"/>
    </row>
    <row r="30" spans="1:15" s="192" customFormat="1" x14ac:dyDescent="0.2">
      <c r="A30" s="266" t="s">
        <v>630</v>
      </c>
      <c r="B30" s="220">
        <v>10527</v>
      </c>
      <c r="C30" s="220" t="s">
        <v>1132</v>
      </c>
      <c r="D30" s="210" t="s">
        <v>49</v>
      </c>
      <c r="E30" s="211" t="s">
        <v>691</v>
      </c>
      <c r="F30" s="209" t="s">
        <v>692</v>
      </c>
      <c r="G30" s="235">
        <f>PI()*9*20*2</f>
        <v>1130.9733552923256</v>
      </c>
      <c r="H30" s="212">
        <v>15</v>
      </c>
      <c r="I30" s="212">
        <f t="shared" si="0"/>
        <v>17.989999999999998</v>
      </c>
      <c r="J30" s="212">
        <f t="shared" si="1"/>
        <v>20346.21</v>
      </c>
      <c r="K30" s="193"/>
      <c r="L30" s="193"/>
      <c r="M30" s="193"/>
      <c r="N30" s="193"/>
      <c r="O30" s="193"/>
    </row>
    <row r="31" spans="1:15" s="192" customFormat="1" ht="25.5" x14ac:dyDescent="0.2">
      <c r="A31" s="266" t="s">
        <v>631</v>
      </c>
      <c r="B31" s="220">
        <v>97064</v>
      </c>
      <c r="C31" s="220" t="s">
        <v>1132</v>
      </c>
      <c r="D31" s="210" t="s">
        <v>32</v>
      </c>
      <c r="E31" s="211" t="s">
        <v>693</v>
      </c>
      <c r="F31" s="209" t="s">
        <v>35</v>
      </c>
      <c r="G31" s="235">
        <f>G30/2</f>
        <v>565.48667764616278</v>
      </c>
      <c r="H31" s="212">
        <v>14.76</v>
      </c>
      <c r="I31" s="212">
        <f t="shared" si="0"/>
        <v>19.2</v>
      </c>
      <c r="J31" s="212">
        <f t="shared" si="1"/>
        <v>10857.34</v>
      </c>
      <c r="K31" s="193"/>
      <c r="L31" s="193"/>
      <c r="M31" s="193"/>
      <c r="N31" s="193"/>
      <c r="O31" s="193"/>
    </row>
    <row r="32" spans="1:15" s="192" customFormat="1" x14ac:dyDescent="0.2">
      <c r="A32" s="266" t="s">
        <v>731</v>
      </c>
      <c r="B32" s="220">
        <v>122</v>
      </c>
      <c r="C32" s="220" t="s">
        <v>44</v>
      </c>
      <c r="D32" s="210" t="s">
        <v>32</v>
      </c>
      <c r="E32" s="211" t="s">
        <v>727</v>
      </c>
      <c r="F32" s="209" t="s">
        <v>93</v>
      </c>
      <c r="G32" s="235">
        <v>1230.27</v>
      </c>
      <c r="H32" s="212">
        <v>48.84</v>
      </c>
      <c r="I32" s="212">
        <f t="shared" si="0"/>
        <v>63.52</v>
      </c>
      <c r="J32" s="212">
        <f t="shared" si="1"/>
        <v>78146.75</v>
      </c>
      <c r="K32" s="193"/>
      <c r="L32" s="193"/>
      <c r="M32" s="193"/>
      <c r="N32" s="193"/>
      <c r="O32" s="193"/>
    </row>
    <row r="33" spans="1:15" s="192" customFormat="1" ht="25.5" x14ac:dyDescent="0.2">
      <c r="A33" s="266" t="s">
        <v>732</v>
      </c>
      <c r="B33" s="220">
        <v>98555</v>
      </c>
      <c r="C33" s="220" t="s">
        <v>1132</v>
      </c>
      <c r="D33" s="210" t="s">
        <v>32</v>
      </c>
      <c r="E33" s="211" t="s">
        <v>223</v>
      </c>
      <c r="F33" s="209" t="s">
        <v>92</v>
      </c>
      <c r="G33" s="235">
        <v>177.11</v>
      </c>
      <c r="H33" s="212">
        <v>24.98</v>
      </c>
      <c r="I33" s="212">
        <f t="shared" si="0"/>
        <v>32.49</v>
      </c>
      <c r="J33" s="212">
        <f t="shared" si="1"/>
        <v>5754.3</v>
      </c>
      <c r="K33" s="193"/>
      <c r="L33" s="193"/>
      <c r="M33" s="193"/>
      <c r="N33" s="193"/>
      <c r="O33" s="193"/>
    </row>
    <row r="34" spans="1:15" s="192" customFormat="1" ht="25.5" x14ac:dyDescent="0.2">
      <c r="A34" s="266" t="s">
        <v>733</v>
      </c>
      <c r="B34" s="220">
        <v>6243</v>
      </c>
      <c r="C34" s="220" t="s">
        <v>1132</v>
      </c>
      <c r="D34" s="210" t="s">
        <v>49</v>
      </c>
      <c r="E34" s="211" t="s">
        <v>238</v>
      </c>
      <c r="F34" s="209" t="s">
        <v>45</v>
      </c>
      <c r="G34" s="235">
        <v>2</v>
      </c>
      <c r="H34" s="212">
        <v>600</v>
      </c>
      <c r="I34" s="212">
        <f t="shared" si="0"/>
        <v>719.4</v>
      </c>
      <c r="J34" s="212">
        <f t="shared" si="1"/>
        <v>1438.8</v>
      </c>
      <c r="K34" s="193"/>
      <c r="L34" s="193"/>
      <c r="M34" s="193"/>
      <c r="N34" s="193"/>
      <c r="O34" s="193"/>
    </row>
    <row r="35" spans="1:15" s="192" customFormat="1" x14ac:dyDescent="0.2">
      <c r="A35" s="266" t="s">
        <v>734</v>
      </c>
      <c r="B35" s="220" t="s">
        <v>938</v>
      </c>
      <c r="C35" s="220" t="s">
        <v>57</v>
      </c>
      <c r="D35" s="210" t="s">
        <v>32</v>
      </c>
      <c r="E35" s="211" t="s">
        <v>939</v>
      </c>
      <c r="F35" s="209" t="s">
        <v>35</v>
      </c>
      <c r="G35" s="235">
        <v>23</v>
      </c>
      <c r="H35" s="212">
        <v>850</v>
      </c>
      <c r="I35" s="212">
        <f t="shared" si="0"/>
        <v>1105.43</v>
      </c>
      <c r="J35" s="212">
        <f t="shared" si="1"/>
        <v>25424.89</v>
      </c>
      <c r="K35" s="193"/>
      <c r="L35" s="193"/>
      <c r="M35" s="193"/>
      <c r="N35" s="193"/>
      <c r="O35" s="193"/>
    </row>
    <row r="36" spans="1:15" s="192" customFormat="1" x14ac:dyDescent="0.2">
      <c r="A36" s="266" t="s">
        <v>941</v>
      </c>
      <c r="B36" s="220" t="s">
        <v>938</v>
      </c>
      <c r="C36" s="220" t="s">
        <v>57</v>
      </c>
      <c r="D36" s="210" t="s">
        <v>32</v>
      </c>
      <c r="E36" s="211" t="s">
        <v>942</v>
      </c>
      <c r="F36" s="209" t="s">
        <v>35</v>
      </c>
      <c r="G36" s="235">
        <v>6</v>
      </c>
      <c r="H36" s="212">
        <v>850</v>
      </c>
      <c r="I36" s="212">
        <f t="shared" si="0"/>
        <v>1105.43</v>
      </c>
      <c r="J36" s="212">
        <f t="shared" si="1"/>
        <v>6632.58</v>
      </c>
      <c r="K36" s="193"/>
      <c r="L36" s="193"/>
      <c r="M36" s="193"/>
      <c r="N36" s="193"/>
      <c r="O36" s="193"/>
    </row>
    <row r="37" spans="1:15" s="192" customFormat="1" x14ac:dyDescent="0.2">
      <c r="A37" s="266" t="s">
        <v>943</v>
      </c>
      <c r="B37" s="220" t="s">
        <v>938</v>
      </c>
      <c r="C37" s="220" t="s">
        <v>57</v>
      </c>
      <c r="D37" s="210" t="s">
        <v>32</v>
      </c>
      <c r="E37" s="211" t="s">
        <v>940</v>
      </c>
      <c r="F37" s="209" t="s">
        <v>45</v>
      </c>
      <c r="G37" s="235">
        <v>1</v>
      </c>
      <c r="H37" s="212">
        <v>2200</v>
      </c>
      <c r="I37" s="212">
        <f t="shared" si="0"/>
        <v>2861.1</v>
      </c>
      <c r="J37" s="212">
        <f t="shared" si="1"/>
        <v>2861.1</v>
      </c>
      <c r="K37" s="193"/>
      <c r="L37" s="193"/>
      <c r="M37" s="193"/>
      <c r="N37" s="193"/>
      <c r="O37" s="193"/>
    </row>
    <row r="38" spans="1:15" x14ac:dyDescent="0.2">
      <c r="A38" s="282" t="s">
        <v>632</v>
      </c>
      <c r="B38" s="276"/>
      <c r="C38" s="276"/>
      <c r="D38" s="276"/>
      <c r="E38" s="277" t="s">
        <v>666</v>
      </c>
      <c r="F38" s="276"/>
      <c r="G38" s="278"/>
      <c r="H38" s="279">
        <v>0</v>
      </c>
      <c r="I38" s="280"/>
      <c r="J38" s="280">
        <f>SUBTOTAL(9,J40:J83)</f>
        <v>75863.600000000006</v>
      </c>
      <c r="K38" s="167"/>
      <c r="L38" s="167"/>
      <c r="M38" s="167"/>
      <c r="N38" s="167"/>
      <c r="O38" s="167"/>
    </row>
    <row r="39" spans="1:15" s="165" customFormat="1" x14ac:dyDescent="0.2">
      <c r="A39" s="282" t="s">
        <v>633</v>
      </c>
      <c r="B39" s="276"/>
      <c r="C39" s="276"/>
      <c r="D39" s="276"/>
      <c r="E39" s="277" t="s">
        <v>671</v>
      </c>
      <c r="F39" s="276"/>
      <c r="G39" s="278"/>
      <c r="H39" s="279">
        <v>0</v>
      </c>
      <c r="I39" s="280"/>
      <c r="J39" s="280"/>
      <c r="K39" s="168"/>
      <c r="L39" s="168"/>
      <c r="M39" s="168"/>
      <c r="N39" s="168"/>
      <c r="O39" s="168"/>
    </row>
    <row r="40" spans="1:15" x14ac:dyDescent="0.2">
      <c r="A40" s="287"/>
      <c r="B40" s="288"/>
      <c r="C40" s="288"/>
      <c r="D40" s="289"/>
      <c r="E40" s="290" t="s">
        <v>334</v>
      </c>
      <c r="F40" s="291"/>
      <c r="G40" s="292"/>
      <c r="H40" s="293">
        <v>0</v>
      </c>
      <c r="I40" s="293">
        <f>ROUND(IF(D40="S",(H40*(1+$I$7)),(H40*(1+$I$8))),2)</f>
        <v>0</v>
      </c>
      <c r="J40" s="293">
        <f t="shared" ref="J40:J83" si="2">ROUND(G40*I40,2)</f>
        <v>0</v>
      </c>
      <c r="K40" s="167"/>
      <c r="L40" s="167"/>
      <c r="M40" s="167"/>
      <c r="N40" s="167"/>
      <c r="O40" s="167"/>
    </row>
    <row r="41" spans="1:15" s="192" customFormat="1" x14ac:dyDescent="0.2">
      <c r="A41" s="266" t="s">
        <v>672</v>
      </c>
      <c r="B41" s="220" t="s">
        <v>1096</v>
      </c>
      <c r="C41" s="220" t="s">
        <v>57</v>
      </c>
      <c r="D41" s="210" t="s">
        <v>49</v>
      </c>
      <c r="E41" s="211" t="s">
        <v>335</v>
      </c>
      <c r="F41" s="209" t="s">
        <v>158</v>
      </c>
      <c r="G41" s="235">
        <v>1</v>
      </c>
      <c r="H41" s="212">
        <v>2270</v>
      </c>
      <c r="I41" s="212">
        <f t="shared" ref="I41:I83" si="3">ROUND(IF(D41="S",(H41*(1+$I$7)),(H41*(1+$I$8))),2)</f>
        <v>2721.73</v>
      </c>
      <c r="J41" s="212">
        <f t="shared" si="2"/>
        <v>2721.73</v>
      </c>
      <c r="K41" s="193"/>
      <c r="L41" s="193"/>
      <c r="M41" s="193"/>
      <c r="N41" s="193"/>
      <c r="O41" s="193"/>
    </row>
    <row r="42" spans="1:15" s="192" customFormat="1" x14ac:dyDescent="0.2">
      <c r="A42" s="266" t="s">
        <v>635</v>
      </c>
      <c r="B42" s="220" t="s">
        <v>1105</v>
      </c>
      <c r="C42" s="220" t="s">
        <v>57</v>
      </c>
      <c r="D42" s="210" t="s">
        <v>49</v>
      </c>
      <c r="E42" s="211" t="s">
        <v>336</v>
      </c>
      <c r="F42" s="209" t="s">
        <v>158</v>
      </c>
      <c r="G42" s="235">
        <v>1</v>
      </c>
      <c r="H42" s="212">
        <v>704.81</v>
      </c>
      <c r="I42" s="212">
        <f t="shared" si="3"/>
        <v>845.07</v>
      </c>
      <c r="J42" s="212">
        <f t="shared" si="2"/>
        <v>845.07</v>
      </c>
      <c r="K42" s="193"/>
      <c r="L42" s="193"/>
      <c r="M42" s="193"/>
      <c r="N42" s="193"/>
      <c r="O42" s="193"/>
    </row>
    <row r="43" spans="1:15" s="192" customFormat="1" ht="38.25" x14ac:dyDescent="0.2">
      <c r="A43" s="266" t="s">
        <v>636</v>
      </c>
      <c r="B43" s="220" t="s">
        <v>1113</v>
      </c>
      <c r="C43" s="220" t="s">
        <v>57</v>
      </c>
      <c r="D43" s="210" t="s">
        <v>49</v>
      </c>
      <c r="E43" s="211" t="s">
        <v>337</v>
      </c>
      <c r="F43" s="209" t="s">
        <v>45</v>
      </c>
      <c r="G43" s="235">
        <v>1</v>
      </c>
      <c r="H43" s="212">
        <v>939.99</v>
      </c>
      <c r="I43" s="212">
        <f t="shared" si="3"/>
        <v>1127.05</v>
      </c>
      <c r="J43" s="212">
        <f t="shared" si="2"/>
        <v>1127.05</v>
      </c>
      <c r="K43" s="193"/>
      <c r="L43" s="193"/>
      <c r="M43" s="193"/>
      <c r="N43" s="193"/>
      <c r="O43" s="193"/>
    </row>
    <row r="44" spans="1:15" s="192" customFormat="1" ht="38.25" x14ac:dyDescent="0.2">
      <c r="A44" s="266" t="s">
        <v>637</v>
      </c>
      <c r="B44" s="220" t="s">
        <v>1114</v>
      </c>
      <c r="C44" s="220" t="s">
        <v>57</v>
      </c>
      <c r="D44" s="210" t="s">
        <v>49</v>
      </c>
      <c r="E44" s="211" t="s">
        <v>338</v>
      </c>
      <c r="F44" s="209" t="s">
        <v>45</v>
      </c>
      <c r="G44" s="235">
        <v>1</v>
      </c>
      <c r="H44" s="212">
        <v>3324.99</v>
      </c>
      <c r="I44" s="212">
        <f t="shared" si="3"/>
        <v>3986.66</v>
      </c>
      <c r="J44" s="212">
        <f t="shared" si="2"/>
        <v>3986.66</v>
      </c>
      <c r="K44" s="193"/>
      <c r="L44" s="193"/>
      <c r="M44" s="193"/>
      <c r="N44" s="193"/>
      <c r="O44" s="193"/>
    </row>
    <row r="45" spans="1:15" s="192" customFormat="1" ht="38.25" x14ac:dyDescent="0.2">
      <c r="A45" s="266" t="s">
        <v>638</v>
      </c>
      <c r="B45" s="220" t="s">
        <v>1115</v>
      </c>
      <c r="C45" s="220" t="s">
        <v>57</v>
      </c>
      <c r="D45" s="210" t="s">
        <v>49</v>
      </c>
      <c r="E45" s="211" t="s">
        <v>339</v>
      </c>
      <c r="F45" s="209" t="s">
        <v>45</v>
      </c>
      <c r="G45" s="235">
        <v>1</v>
      </c>
      <c r="H45" s="212">
        <v>1946.99</v>
      </c>
      <c r="I45" s="212">
        <f t="shared" si="3"/>
        <v>2334.44</v>
      </c>
      <c r="J45" s="212">
        <f t="shared" si="2"/>
        <v>2334.44</v>
      </c>
      <c r="K45" s="193"/>
      <c r="L45" s="193"/>
      <c r="M45" s="193"/>
      <c r="N45" s="193"/>
      <c r="O45" s="193"/>
    </row>
    <row r="46" spans="1:15" s="192" customFormat="1" ht="38.25" x14ac:dyDescent="0.2">
      <c r="A46" s="266" t="s">
        <v>639</v>
      </c>
      <c r="B46" s="220" t="s">
        <v>1116</v>
      </c>
      <c r="C46" s="220" t="s">
        <v>57</v>
      </c>
      <c r="D46" s="210" t="s">
        <v>49</v>
      </c>
      <c r="E46" s="211" t="s">
        <v>340</v>
      </c>
      <c r="F46" s="209" t="s">
        <v>45</v>
      </c>
      <c r="G46" s="235">
        <v>1</v>
      </c>
      <c r="H46" s="212">
        <v>3483.99</v>
      </c>
      <c r="I46" s="212">
        <f t="shared" si="3"/>
        <v>4177.3</v>
      </c>
      <c r="J46" s="212">
        <f t="shared" si="2"/>
        <v>4177.3</v>
      </c>
      <c r="K46" s="193"/>
      <c r="L46" s="193"/>
      <c r="M46" s="193"/>
      <c r="N46" s="193"/>
      <c r="O46" s="193"/>
    </row>
    <row r="47" spans="1:15" s="192" customFormat="1" x14ac:dyDescent="0.2">
      <c r="A47" s="266" t="s">
        <v>640</v>
      </c>
      <c r="B47" s="220" t="s">
        <v>1103</v>
      </c>
      <c r="C47" s="220" t="s">
        <v>57</v>
      </c>
      <c r="D47" s="210" t="s">
        <v>49</v>
      </c>
      <c r="E47" s="211" t="s">
        <v>341</v>
      </c>
      <c r="F47" s="209" t="s">
        <v>158</v>
      </c>
      <c r="G47" s="235">
        <v>1</v>
      </c>
      <c r="H47" s="212">
        <v>1100.43</v>
      </c>
      <c r="I47" s="212">
        <f t="shared" si="3"/>
        <v>1319.42</v>
      </c>
      <c r="J47" s="212">
        <f t="shared" si="2"/>
        <v>1319.42</v>
      </c>
      <c r="K47" s="193"/>
      <c r="L47" s="193"/>
      <c r="M47" s="193"/>
      <c r="N47" s="193"/>
      <c r="O47" s="193"/>
    </row>
    <row r="48" spans="1:15" s="192" customFormat="1" x14ac:dyDescent="0.2">
      <c r="A48" s="266" t="s">
        <v>641</v>
      </c>
      <c r="B48" s="220" t="s">
        <v>1117</v>
      </c>
      <c r="C48" s="220" t="s">
        <v>57</v>
      </c>
      <c r="D48" s="210" t="s">
        <v>49</v>
      </c>
      <c r="E48" s="211" t="s">
        <v>342</v>
      </c>
      <c r="F48" s="209" t="s">
        <v>45</v>
      </c>
      <c r="G48" s="235">
        <v>1</v>
      </c>
      <c r="H48" s="212">
        <v>3291.12</v>
      </c>
      <c r="I48" s="212">
        <f t="shared" si="3"/>
        <v>3946.05</v>
      </c>
      <c r="J48" s="212">
        <f t="shared" si="2"/>
        <v>3946.05</v>
      </c>
      <c r="K48" s="193"/>
      <c r="L48" s="193"/>
      <c r="M48" s="193"/>
      <c r="N48" s="193"/>
      <c r="O48" s="193"/>
    </row>
    <row r="49" spans="1:15" s="192" customFormat="1" x14ac:dyDescent="0.2">
      <c r="A49" s="266" t="s">
        <v>642</v>
      </c>
      <c r="B49" s="220" t="s">
        <v>1104</v>
      </c>
      <c r="C49" s="220" t="s">
        <v>57</v>
      </c>
      <c r="D49" s="210" t="s">
        <v>49</v>
      </c>
      <c r="E49" s="211" t="s">
        <v>343</v>
      </c>
      <c r="F49" s="209" t="s">
        <v>158</v>
      </c>
      <c r="G49" s="235">
        <v>1</v>
      </c>
      <c r="H49" s="212">
        <v>376.97</v>
      </c>
      <c r="I49" s="212">
        <f t="shared" si="3"/>
        <v>451.99</v>
      </c>
      <c r="J49" s="212">
        <f t="shared" si="2"/>
        <v>451.99</v>
      </c>
      <c r="K49" s="193"/>
      <c r="L49" s="193"/>
      <c r="M49" s="193"/>
      <c r="N49" s="193"/>
      <c r="O49" s="193"/>
    </row>
    <row r="50" spans="1:15" s="192" customFormat="1" x14ac:dyDescent="0.2">
      <c r="A50" s="287"/>
      <c r="B50" s="288"/>
      <c r="C50" s="288"/>
      <c r="D50" s="289"/>
      <c r="E50" s="290" t="s">
        <v>253</v>
      </c>
      <c r="F50" s="291"/>
      <c r="G50" s="292"/>
      <c r="H50" s="293">
        <v>0</v>
      </c>
      <c r="I50" s="293">
        <f t="shared" si="3"/>
        <v>0</v>
      </c>
      <c r="J50" s="293">
        <f t="shared" si="2"/>
        <v>0</v>
      </c>
      <c r="K50" s="193"/>
      <c r="L50" s="193"/>
      <c r="M50" s="193"/>
      <c r="N50" s="193"/>
      <c r="O50" s="193"/>
    </row>
    <row r="51" spans="1:15" s="192" customFormat="1" ht="25.5" x14ac:dyDescent="0.2">
      <c r="A51" s="266" t="s">
        <v>643</v>
      </c>
      <c r="B51" s="220">
        <v>9828</v>
      </c>
      <c r="C51" s="220" t="s">
        <v>1132</v>
      </c>
      <c r="D51" s="210" t="s">
        <v>49</v>
      </c>
      <c r="E51" s="211" t="s">
        <v>179</v>
      </c>
      <c r="F51" s="209" t="s">
        <v>35</v>
      </c>
      <c r="G51" s="235">
        <v>2</v>
      </c>
      <c r="H51" s="212">
        <v>148.33000000000001</v>
      </c>
      <c r="I51" s="212">
        <f t="shared" si="3"/>
        <v>177.85</v>
      </c>
      <c r="J51" s="212">
        <f t="shared" si="2"/>
        <v>355.7</v>
      </c>
      <c r="K51" s="193"/>
      <c r="L51" s="193"/>
      <c r="M51" s="193"/>
      <c r="N51" s="193"/>
      <c r="O51" s="193"/>
    </row>
    <row r="52" spans="1:15" s="192" customFormat="1" x14ac:dyDescent="0.2">
      <c r="A52" s="266" t="s">
        <v>644</v>
      </c>
      <c r="B52" s="220" t="s">
        <v>1104</v>
      </c>
      <c r="C52" s="220" t="s">
        <v>57</v>
      </c>
      <c r="D52" s="210" t="s">
        <v>49</v>
      </c>
      <c r="E52" s="211" t="s">
        <v>344</v>
      </c>
      <c r="F52" s="209" t="s">
        <v>158</v>
      </c>
      <c r="G52" s="235">
        <v>1</v>
      </c>
      <c r="H52" s="212">
        <v>376.97</v>
      </c>
      <c r="I52" s="212">
        <f t="shared" si="3"/>
        <v>451.99</v>
      </c>
      <c r="J52" s="212">
        <f t="shared" si="2"/>
        <v>451.99</v>
      </c>
      <c r="K52" s="193"/>
      <c r="L52" s="193"/>
      <c r="M52" s="193"/>
      <c r="N52" s="193"/>
      <c r="O52" s="193"/>
    </row>
    <row r="53" spans="1:15" s="192" customFormat="1" x14ac:dyDescent="0.2">
      <c r="A53" s="266" t="s">
        <v>645</v>
      </c>
      <c r="B53" s="220" t="s">
        <v>1118</v>
      </c>
      <c r="C53" s="220" t="s">
        <v>57</v>
      </c>
      <c r="D53" s="210" t="s">
        <v>49</v>
      </c>
      <c r="E53" s="211" t="s">
        <v>345</v>
      </c>
      <c r="F53" s="209" t="s">
        <v>45</v>
      </c>
      <c r="G53" s="235">
        <v>1</v>
      </c>
      <c r="H53" s="212">
        <v>1807.12</v>
      </c>
      <c r="I53" s="212">
        <f t="shared" si="3"/>
        <v>2166.7399999999998</v>
      </c>
      <c r="J53" s="212">
        <f t="shared" si="2"/>
        <v>2166.7399999999998</v>
      </c>
      <c r="K53" s="193"/>
      <c r="L53" s="193"/>
      <c r="M53" s="193"/>
      <c r="N53" s="193"/>
      <c r="O53" s="193"/>
    </row>
    <row r="54" spans="1:15" s="192" customFormat="1" ht="38.25" x14ac:dyDescent="0.2">
      <c r="A54" s="266" t="s">
        <v>646</v>
      </c>
      <c r="B54" s="220" t="s">
        <v>1116</v>
      </c>
      <c r="C54" s="220" t="s">
        <v>57</v>
      </c>
      <c r="D54" s="210" t="s">
        <v>49</v>
      </c>
      <c r="E54" s="211" t="s">
        <v>340</v>
      </c>
      <c r="F54" s="209" t="s">
        <v>45</v>
      </c>
      <c r="G54" s="235">
        <v>2</v>
      </c>
      <c r="H54" s="212">
        <v>3483.99</v>
      </c>
      <c r="I54" s="212">
        <f t="shared" si="3"/>
        <v>4177.3</v>
      </c>
      <c r="J54" s="212">
        <f t="shared" si="2"/>
        <v>8354.6</v>
      </c>
      <c r="K54" s="193"/>
      <c r="L54" s="193"/>
      <c r="M54" s="193"/>
      <c r="N54" s="193"/>
      <c r="O54" s="193"/>
    </row>
    <row r="55" spans="1:15" s="192" customFormat="1" ht="38.25" x14ac:dyDescent="0.2">
      <c r="A55" s="266" t="s">
        <v>647</v>
      </c>
      <c r="B55" s="220" t="s">
        <v>1119</v>
      </c>
      <c r="C55" s="220" t="s">
        <v>57</v>
      </c>
      <c r="D55" s="210" t="s">
        <v>49</v>
      </c>
      <c r="E55" s="211" t="s">
        <v>346</v>
      </c>
      <c r="F55" s="209" t="s">
        <v>45</v>
      </c>
      <c r="G55" s="235">
        <v>1</v>
      </c>
      <c r="H55" s="212">
        <v>3457.49</v>
      </c>
      <c r="I55" s="212">
        <f t="shared" si="3"/>
        <v>4145.53</v>
      </c>
      <c r="J55" s="212">
        <f t="shared" si="2"/>
        <v>4145.53</v>
      </c>
      <c r="K55" s="193"/>
      <c r="L55" s="193"/>
      <c r="M55" s="193"/>
      <c r="N55" s="193"/>
      <c r="O55" s="193"/>
    </row>
    <row r="56" spans="1:15" s="192" customFormat="1" x14ac:dyDescent="0.2">
      <c r="A56" s="266" t="s">
        <v>648</v>
      </c>
      <c r="B56" s="220" t="s">
        <v>1103</v>
      </c>
      <c r="C56" s="220" t="s">
        <v>57</v>
      </c>
      <c r="D56" s="210" t="s">
        <v>49</v>
      </c>
      <c r="E56" s="211" t="s">
        <v>341</v>
      </c>
      <c r="F56" s="209" t="s">
        <v>158</v>
      </c>
      <c r="G56" s="235">
        <v>1</v>
      </c>
      <c r="H56" s="212">
        <v>1100.43</v>
      </c>
      <c r="I56" s="212">
        <f t="shared" si="3"/>
        <v>1319.42</v>
      </c>
      <c r="J56" s="212">
        <f t="shared" si="2"/>
        <v>1319.42</v>
      </c>
      <c r="K56" s="193"/>
      <c r="L56" s="193"/>
      <c r="M56" s="193"/>
      <c r="N56" s="193"/>
      <c r="O56" s="193"/>
    </row>
    <row r="57" spans="1:15" s="192" customFormat="1" x14ac:dyDescent="0.2">
      <c r="A57" s="266" t="s">
        <v>649</v>
      </c>
      <c r="B57" s="220" t="s">
        <v>1102</v>
      </c>
      <c r="C57" s="220" t="s">
        <v>57</v>
      </c>
      <c r="D57" s="210" t="s">
        <v>49</v>
      </c>
      <c r="E57" s="211" t="s">
        <v>347</v>
      </c>
      <c r="F57" s="209" t="s">
        <v>158</v>
      </c>
      <c r="G57" s="235">
        <v>1</v>
      </c>
      <c r="H57" s="212">
        <v>1035.55</v>
      </c>
      <c r="I57" s="212">
        <f t="shared" si="3"/>
        <v>1241.6199999999999</v>
      </c>
      <c r="J57" s="212">
        <f t="shared" si="2"/>
        <v>1241.6199999999999</v>
      </c>
      <c r="K57" s="193"/>
      <c r="L57" s="193"/>
      <c r="M57" s="193"/>
      <c r="N57" s="193"/>
      <c r="O57" s="193"/>
    </row>
    <row r="58" spans="1:15" s="192" customFormat="1" x14ac:dyDescent="0.2">
      <c r="A58" s="287"/>
      <c r="B58" s="288"/>
      <c r="C58" s="288"/>
      <c r="D58" s="289"/>
      <c r="E58" s="290" t="s">
        <v>256</v>
      </c>
      <c r="F58" s="291"/>
      <c r="G58" s="292"/>
      <c r="H58" s="292">
        <v>0</v>
      </c>
      <c r="I58" s="292">
        <f t="shared" si="3"/>
        <v>0</v>
      </c>
      <c r="J58" s="292">
        <f t="shared" si="2"/>
        <v>0</v>
      </c>
      <c r="K58" s="193"/>
      <c r="L58" s="193"/>
      <c r="M58" s="193"/>
      <c r="N58" s="193"/>
      <c r="O58" s="193"/>
    </row>
    <row r="59" spans="1:15" s="192" customFormat="1" ht="25.5" x14ac:dyDescent="0.2">
      <c r="A59" s="266" t="s">
        <v>650</v>
      </c>
      <c r="B59" s="220">
        <v>9825</v>
      </c>
      <c r="C59" s="220" t="s">
        <v>1132</v>
      </c>
      <c r="D59" s="210" t="s">
        <v>49</v>
      </c>
      <c r="E59" s="211" t="s">
        <v>179</v>
      </c>
      <c r="F59" s="209" t="s">
        <v>35</v>
      </c>
      <c r="G59" s="235">
        <v>2</v>
      </c>
      <c r="H59" s="212">
        <v>55.12</v>
      </c>
      <c r="I59" s="212">
        <f t="shared" si="3"/>
        <v>66.09</v>
      </c>
      <c r="J59" s="212">
        <f t="shared" si="2"/>
        <v>132.18</v>
      </c>
      <c r="K59" s="193"/>
      <c r="L59" s="193"/>
      <c r="M59" s="193"/>
      <c r="N59" s="193"/>
      <c r="O59" s="193"/>
    </row>
    <row r="60" spans="1:15" s="192" customFormat="1" x14ac:dyDescent="0.2">
      <c r="A60" s="266" t="s">
        <v>651</v>
      </c>
      <c r="B60" s="220" t="s">
        <v>1101</v>
      </c>
      <c r="C60" s="220" t="s">
        <v>57</v>
      </c>
      <c r="D60" s="210" t="s">
        <v>49</v>
      </c>
      <c r="E60" s="211" t="s">
        <v>348</v>
      </c>
      <c r="F60" s="209" t="s">
        <v>158</v>
      </c>
      <c r="G60" s="235">
        <v>1</v>
      </c>
      <c r="H60" s="212">
        <v>190.37</v>
      </c>
      <c r="I60" s="212">
        <f t="shared" si="3"/>
        <v>228.25</v>
      </c>
      <c r="J60" s="212">
        <f t="shared" si="2"/>
        <v>228.25</v>
      </c>
      <c r="K60" s="193"/>
      <c r="L60" s="193"/>
      <c r="M60" s="193"/>
      <c r="N60" s="193"/>
      <c r="O60" s="193"/>
    </row>
    <row r="61" spans="1:15" s="192" customFormat="1" x14ac:dyDescent="0.2">
      <c r="A61" s="266" t="s">
        <v>652</v>
      </c>
      <c r="B61" s="220" t="s">
        <v>1120</v>
      </c>
      <c r="C61" s="220" t="s">
        <v>57</v>
      </c>
      <c r="D61" s="210" t="s">
        <v>49</v>
      </c>
      <c r="E61" s="211" t="s">
        <v>349</v>
      </c>
      <c r="F61" s="209" t="s">
        <v>45</v>
      </c>
      <c r="G61" s="235">
        <v>1</v>
      </c>
      <c r="H61" s="212">
        <v>702.3</v>
      </c>
      <c r="I61" s="212">
        <f t="shared" si="3"/>
        <v>842.06</v>
      </c>
      <c r="J61" s="212">
        <f t="shared" si="2"/>
        <v>842.06</v>
      </c>
      <c r="K61" s="193"/>
      <c r="L61" s="193"/>
      <c r="M61" s="193"/>
      <c r="N61" s="193"/>
      <c r="O61" s="193"/>
    </row>
    <row r="62" spans="1:15" s="192" customFormat="1" ht="25.5" x14ac:dyDescent="0.2">
      <c r="A62" s="266" t="s">
        <v>653</v>
      </c>
      <c r="B62" s="220" t="s">
        <v>783</v>
      </c>
      <c r="C62" s="220" t="s">
        <v>57</v>
      </c>
      <c r="D62" s="210" t="s">
        <v>49</v>
      </c>
      <c r="E62" s="211" t="s">
        <v>350</v>
      </c>
      <c r="F62" s="209" t="s">
        <v>158</v>
      </c>
      <c r="G62" s="235">
        <v>1</v>
      </c>
      <c r="H62" s="212">
        <v>1299</v>
      </c>
      <c r="I62" s="212">
        <f t="shared" si="3"/>
        <v>1557.5</v>
      </c>
      <c r="J62" s="212">
        <f t="shared" si="2"/>
        <v>1557.5</v>
      </c>
      <c r="K62" s="193"/>
      <c r="L62" s="193"/>
      <c r="M62" s="193"/>
      <c r="N62" s="193"/>
      <c r="O62" s="193"/>
    </row>
    <row r="63" spans="1:15" s="192" customFormat="1" ht="38.25" x14ac:dyDescent="0.2">
      <c r="A63" s="266" t="s">
        <v>654</v>
      </c>
      <c r="B63" s="220" t="s">
        <v>1121</v>
      </c>
      <c r="C63" s="220" t="s">
        <v>57</v>
      </c>
      <c r="D63" s="210" t="s">
        <v>49</v>
      </c>
      <c r="E63" s="211" t="s">
        <v>351</v>
      </c>
      <c r="F63" s="209" t="s">
        <v>45</v>
      </c>
      <c r="G63" s="235">
        <v>1</v>
      </c>
      <c r="H63" s="212">
        <v>610.75</v>
      </c>
      <c r="I63" s="212">
        <f t="shared" si="3"/>
        <v>732.29</v>
      </c>
      <c r="J63" s="212">
        <f t="shared" si="2"/>
        <v>732.29</v>
      </c>
      <c r="K63" s="193"/>
      <c r="L63" s="193"/>
      <c r="M63" s="193"/>
      <c r="N63" s="193"/>
      <c r="O63" s="193"/>
    </row>
    <row r="64" spans="1:15" s="192" customFormat="1" ht="38.25" x14ac:dyDescent="0.2">
      <c r="A64" s="266" t="s">
        <v>655</v>
      </c>
      <c r="B64" s="220" t="s">
        <v>1122</v>
      </c>
      <c r="C64" s="220" t="s">
        <v>57</v>
      </c>
      <c r="D64" s="210" t="s">
        <v>49</v>
      </c>
      <c r="E64" s="211" t="s">
        <v>352</v>
      </c>
      <c r="F64" s="209" t="s">
        <v>45</v>
      </c>
      <c r="G64" s="235">
        <v>2</v>
      </c>
      <c r="H64" s="212">
        <v>2031.55</v>
      </c>
      <c r="I64" s="212">
        <f t="shared" si="3"/>
        <v>2435.83</v>
      </c>
      <c r="J64" s="212">
        <f t="shared" si="2"/>
        <v>4871.66</v>
      </c>
      <c r="K64" s="193"/>
      <c r="L64" s="193"/>
      <c r="M64" s="193"/>
      <c r="N64" s="193"/>
      <c r="O64" s="193"/>
    </row>
    <row r="65" spans="1:15" s="192" customFormat="1" ht="25.5" x14ac:dyDescent="0.2">
      <c r="A65" s="266" t="s">
        <v>656</v>
      </c>
      <c r="B65" s="220" t="s">
        <v>1097</v>
      </c>
      <c r="C65" s="220" t="s">
        <v>57</v>
      </c>
      <c r="D65" s="210" t="s">
        <v>49</v>
      </c>
      <c r="E65" s="211" t="s">
        <v>353</v>
      </c>
      <c r="F65" s="209" t="s">
        <v>158</v>
      </c>
      <c r="G65" s="235">
        <v>1</v>
      </c>
      <c r="H65" s="212">
        <v>742.13</v>
      </c>
      <c r="I65" s="212">
        <f t="shared" si="3"/>
        <v>889.81</v>
      </c>
      <c r="J65" s="212">
        <f t="shared" si="2"/>
        <v>889.81</v>
      </c>
      <c r="K65" s="193"/>
      <c r="L65" s="193"/>
      <c r="M65" s="193"/>
      <c r="N65" s="193"/>
      <c r="O65" s="193"/>
    </row>
    <row r="66" spans="1:15" s="192" customFormat="1" x14ac:dyDescent="0.2">
      <c r="A66" s="287"/>
      <c r="B66" s="288"/>
      <c r="C66" s="288"/>
      <c r="D66" s="289"/>
      <c r="E66" s="290" t="s">
        <v>354</v>
      </c>
      <c r="F66" s="291"/>
      <c r="G66" s="292"/>
      <c r="H66" s="292">
        <v>0</v>
      </c>
      <c r="I66" s="292">
        <f t="shared" si="3"/>
        <v>0</v>
      </c>
      <c r="J66" s="292">
        <f t="shared" si="2"/>
        <v>0</v>
      </c>
      <c r="K66" s="193"/>
      <c r="L66" s="193"/>
      <c r="M66" s="193"/>
      <c r="N66" s="193"/>
      <c r="O66" s="193"/>
    </row>
    <row r="67" spans="1:15" s="192" customFormat="1" x14ac:dyDescent="0.2">
      <c r="A67" s="266" t="s">
        <v>657</v>
      </c>
      <c r="B67" s="220" t="s">
        <v>1100</v>
      </c>
      <c r="C67" s="220" t="s">
        <v>57</v>
      </c>
      <c r="D67" s="210" t="s">
        <v>49</v>
      </c>
      <c r="E67" s="211" t="s">
        <v>355</v>
      </c>
      <c r="F67" s="209" t="s">
        <v>158</v>
      </c>
      <c r="G67" s="235">
        <v>1</v>
      </c>
      <c r="H67" s="212">
        <v>460.14</v>
      </c>
      <c r="I67" s="212">
        <f t="shared" si="3"/>
        <v>551.71</v>
      </c>
      <c r="J67" s="212">
        <f t="shared" si="2"/>
        <v>551.71</v>
      </c>
      <c r="K67" s="193"/>
      <c r="L67" s="193"/>
      <c r="M67" s="193"/>
      <c r="N67" s="193"/>
      <c r="O67" s="193"/>
    </row>
    <row r="68" spans="1:15" s="192" customFormat="1" ht="25.5" x14ac:dyDescent="0.2">
      <c r="A68" s="266" t="s">
        <v>658</v>
      </c>
      <c r="B68" s="220" t="s">
        <v>1106</v>
      </c>
      <c r="C68" s="220" t="s">
        <v>57</v>
      </c>
      <c r="D68" s="210" t="s">
        <v>49</v>
      </c>
      <c r="E68" s="211" t="s">
        <v>356</v>
      </c>
      <c r="F68" s="209" t="s">
        <v>158</v>
      </c>
      <c r="G68" s="235">
        <v>1</v>
      </c>
      <c r="H68" s="212">
        <v>2490</v>
      </c>
      <c r="I68" s="212">
        <f t="shared" si="3"/>
        <v>2985.51</v>
      </c>
      <c r="J68" s="212">
        <f t="shared" si="2"/>
        <v>2985.51</v>
      </c>
      <c r="K68" s="193"/>
      <c r="L68" s="193"/>
      <c r="M68" s="193"/>
      <c r="N68" s="193"/>
      <c r="O68" s="193"/>
    </row>
    <row r="69" spans="1:15" s="192" customFormat="1" x14ac:dyDescent="0.2">
      <c r="A69" s="266" t="s">
        <v>659</v>
      </c>
      <c r="B69" s="220" t="s">
        <v>1123</v>
      </c>
      <c r="C69" s="220" t="s">
        <v>57</v>
      </c>
      <c r="D69" s="210" t="s">
        <v>49</v>
      </c>
      <c r="E69" s="211" t="s">
        <v>357</v>
      </c>
      <c r="F69" s="209" t="s">
        <v>45</v>
      </c>
      <c r="G69" s="235">
        <v>1</v>
      </c>
      <c r="H69" s="212">
        <v>1202.25</v>
      </c>
      <c r="I69" s="212">
        <f t="shared" si="3"/>
        <v>1441.5</v>
      </c>
      <c r="J69" s="212">
        <f t="shared" si="2"/>
        <v>1441.5</v>
      </c>
      <c r="K69" s="193"/>
      <c r="L69" s="193"/>
      <c r="M69" s="193"/>
      <c r="N69" s="193"/>
      <c r="O69" s="193"/>
    </row>
    <row r="70" spans="1:15" s="192" customFormat="1" x14ac:dyDescent="0.2">
      <c r="A70" s="266" t="s">
        <v>660</v>
      </c>
      <c r="B70" s="220" t="s">
        <v>1127</v>
      </c>
      <c r="C70" s="220" t="s">
        <v>57</v>
      </c>
      <c r="D70" s="210" t="s">
        <v>49</v>
      </c>
      <c r="E70" s="211" t="s">
        <v>358</v>
      </c>
      <c r="F70" s="209" t="s">
        <v>158</v>
      </c>
      <c r="G70" s="235">
        <v>1</v>
      </c>
      <c r="H70" s="212">
        <v>504.77</v>
      </c>
      <c r="I70" s="212">
        <f t="shared" si="3"/>
        <v>605.22</v>
      </c>
      <c r="J70" s="212">
        <f t="shared" si="2"/>
        <v>605.22</v>
      </c>
      <c r="K70" s="193"/>
      <c r="L70" s="193"/>
      <c r="M70" s="193"/>
      <c r="N70" s="193"/>
      <c r="O70" s="193"/>
    </row>
    <row r="71" spans="1:15" s="192" customFormat="1" x14ac:dyDescent="0.2">
      <c r="A71" s="266" t="s">
        <v>661</v>
      </c>
      <c r="B71" s="220" t="s">
        <v>1124</v>
      </c>
      <c r="C71" s="220" t="s">
        <v>57</v>
      </c>
      <c r="D71" s="210" t="s">
        <v>49</v>
      </c>
      <c r="E71" s="211" t="s">
        <v>359</v>
      </c>
      <c r="F71" s="209" t="s">
        <v>45</v>
      </c>
      <c r="G71" s="235">
        <v>1</v>
      </c>
      <c r="H71" s="212">
        <v>3975.75</v>
      </c>
      <c r="I71" s="212">
        <f t="shared" si="3"/>
        <v>4766.92</v>
      </c>
      <c r="J71" s="212">
        <f t="shared" si="2"/>
        <v>4766.92</v>
      </c>
      <c r="K71" s="193"/>
      <c r="L71" s="193"/>
      <c r="M71" s="193"/>
      <c r="N71" s="193"/>
      <c r="O71" s="193"/>
    </row>
    <row r="72" spans="1:15" s="192" customFormat="1" ht="38.25" x14ac:dyDescent="0.2">
      <c r="A72" s="266" t="s">
        <v>662</v>
      </c>
      <c r="B72" s="220" t="s">
        <v>1125</v>
      </c>
      <c r="C72" s="220" t="s">
        <v>57</v>
      </c>
      <c r="D72" s="210" t="s">
        <v>49</v>
      </c>
      <c r="E72" s="211" t="s">
        <v>360</v>
      </c>
      <c r="F72" s="209" t="s">
        <v>45</v>
      </c>
      <c r="G72" s="235">
        <v>1</v>
      </c>
      <c r="H72" s="212">
        <v>2573.73</v>
      </c>
      <c r="I72" s="212">
        <f t="shared" si="3"/>
        <v>3085.9</v>
      </c>
      <c r="J72" s="212">
        <f t="shared" si="2"/>
        <v>3085.9</v>
      </c>
      <c r="K72" s="193"/>
      <c r="L72" s="193"/>
      <c r="M72" s="193"/>
      <c r="N72" s="193"/>
      <c r="O72" s="193"/>
    </row>
    <row r="73" spans="1:15" s="192" customFormat="1" ht="38.25" x14ac:dyDescent="0.2">
      <c r="A73" s="266" t="s">
        <v>663</v>
      </c>
      <c r="B73" s="220" t="s">
        <v>1126</v>
      </c>
      <c r="C73" s="220" t="s">
        <v>57</v>
      </c>
      <c r="D73" s="210" t="s">
        <v>49</v>
      </c>
      <c r="E73" s="211" t="s">
        <v>361</v>
      </c>
      <c r="F73" s="209" t="s">
        <v>45</v>
      </c>
      <c r="G73" s="235">
        <v>1</v>
      </c>
      <c r="H73" s="212">
        <v>4186.2299999999996</v>
      </c>
      <c r="I73" s="212">
        <f t="shared" si="3"/>
        <v>5019.29</v>
      </c>
      <c r="J73" s="212">
        <f t="shared" si="2"/>
        <v>5019.29</v>
      </c>
      <c r="K73" s="193"/>
      <c r="L73" s="193"/>
      <c r="M73" s="193"/>
      <c r="N73" s="193"/>
      <c r="O73" s="193"/>
    </row>
    <row r="74" spans="1:15" s="192" customFormat="1" x14ac:dyDescent="0.2">
      <c r="A74" s="266" t="s">
        <v>664</v>
      </c>
      <c r="B74" s="220" t="s">
        <v>1099</v>
      </c>
      <c r="C74" s="220" t="s">
        <v>57</v>
      </c>
      <c r="D74" s="210" t="s">
        <v>49</v>
      </c>
      <c r="E74" s="211" t="s">
        <v>362</v>
      </c>
      <c r="F74" s="209" t="s">
        <v>158</v>
      </c>
      <c r="G74" s="235">
        <v>1</v>
      </c>
      <c r="H74" s="212">
        <v>830.59</v>
      </c>
      <c r="I74" s="212">
        <f t="shared" si="3"/>
        <v>995.88</v>
      </c>
      <c r="J74" s="212">
        <f t="shared" si="2"/>
        <v>995.88</v>
      </c>
      <c r="K74" s="193"/>
      <c r="L74" s="193"/>
      <c r="M74" s="193"/>
      <c r="N74" s="193"/>
      <c r="O74" s="193"/>
    </row>
    <row r="75" spans="1:15" s="192" customFormat="1" x14ac:dyDescent="0.2">
      <c r="A75" s="287"/>
      <c r="B75" s="288"/>
      <c r="C75" s="288"/>
      <c r="D75" s="289"/>
      <c r="E75" s="290" t="s">
        <v>254</v>
      </c>
      <c r="F75" s="291"/>
      <c r="G75" s="292"/>
      <c r="H75" s="293">
        <v>0</v>
      </c>
      <c r="I75" s="293">
        <f t="shared" si="3"/>
        <v>0</v>
      </c>
      <c r="J75" s="293">
        <f t="shared" si="2"/>
        <v>0</v>
      </c>
      <c r="K75" s="193"/>
      <c r="L75" s="193"/>
      <c r="M75" s="193"/>
      <c r="N75" s="193"/>
      <c r="O75" s="193"/>
    </row>
    <row r="76" spans="1:15" s="192" customFormat="1" x14ac:dyDescent="0.2">
      <c r="A76" s="266" t="s">
        <v>665</v>
      </c>
      <c r="B76" s="220" t="s">
        <v>1098</v>
      </c>
      <c r="C76" s="220" t="s">
        <v>57</v>
      </c>
      <c r="D76" s="210" t="s">
        <v>49</v>
      </c>
      <c r="E76" s="211" t="s">
        <v>363</v>
      </c>
      <c r="F76" s="209" t="s">
        <v>158</v>
      </c>
      <c r="G76" s="235">
        <v>4</v>
      </c>
      <c r="H76" s="212">
        <v>507.43</v>
      </c>
      <c r="I76" s="212">
        <f t="shared" si="3"/>
        <v>608.41</v>
      </c>
      <c r="J76" s="212">
        <f t="shared" si="2"/>
        <v>2433.64</v>
      </c>
      <c r="K76" s="193"/>
      <c r="L76" s="193"/>
      <c r="M76" s="193"/>
      <c r="N76" s="193"/>
      <c r="O76" s="193"/>
    </row>
    <row r="77" spans="1:15" s="192" customFormat="1" ht="25.5" x14ac:dyDescent="0.2">
      <c r="A77" s="266" t="s">
        <v>673</v>
      </c>
      <c r="B77" s="220" t="s">
        <v>1097</v>
      </c>
      <c r="C77" s="220" t="s">
        <v>57</v>
      </c>
      <c r="D77" s="210" t="s">
        <v>49</v>
      </c>
      <c r="E77" s="211" t="s">
        <v>364</v>
      </c>
      <c r="F77" s="209" t="s">
        <v>158</v>
      </c>
      <c r="G77" s="235">
        <v>2</v>
      </c>
      <c r="H77" s="212">
        <v>742.13</v>
      </c>
      <c r="I77" s="212">
        <f t="shared" si="3"/>
        <v>889.81</v>
      </c>
      <c r="J77" s="212">
        <f t="shared" si="2"/>
        <v>1779.62</v>
      </c>
      <c r="K77" s="193"/>
      <c r="L77" s="193"/>
      <c r="M77" s="193"/>
      <c r="N77" s="193"/>
      <c r="O77" s="193"/>
    </row>
    <row r="78" spans="1:15" s="192" customFormat="1" x14ac:dyDescent="0.2">
      <c r="A78" s="287"/>
      <c r="B78" s="288"/>
      <c r="C78" s="288"/>
      <c r="D78" s="289"/>
      <c r="E78" s="290" t="s">
        <v>912</v>
      </c>
      <c r="F78" s="291"/>
      <c r="G78" s="292"/>
      <c r="H78" s="293">
        <v>0</v>
      </c>
      <c r="I78" s="293">
        <f t="shared" si="3"/>
        <v>0</v>
      </c>
      <c r="J78" s="293">
        <f t="shared" si="2"/>
        <v>0</v>
      </c>
      <c r="K78" s="193"/>
      <c r="L78" s="193"/>
      <c r="M78" s="193"/>
      <c r="N78" s="193"/>
      <c r="O78" s="193"/>
    </row>
    <row r="79" spans="1:15" s="192" customFormat="1" ht="25.5" x14ac:dyDescent="0.2">
      <c r="A79" s="266" t="s">
        <v>1011</v>
      </c>
      <c r="B79" s="220" t="s">
        <v>1082</v>
      </c>
      <c r="C79" s="220" t="s">
        <v>57</v>
      </c>
      <c r="D79" s="210" t="s">
        <v>49</v>
      </c>
      <c r="E79" s="211" t="s">
        <v>1006</v>
      </c>
      <c r="F79" s="209" t="s">
        <v>158</v>
      </c>
      <c r="G79" s="235">
        <v>136</v>
      </c>
      <c r="H79" s="212">
        <v>15.71</v>
      </c>
      <c r="I79" s="212">
        <f t="shared" si="3"/>
        <v>18.84</v>
      </c>
      <c r="J79" s="212">
        <f t="shared" si="2"/>
        <v>2562.2399999999998</v>
      </c>
      <c r="K79" s="193"/>
      <c r="L79" s="193"/>
      <c r="M79" s="193"/>
      <c r="N79" s="193"/>
      <c r="O79" s="193"/>
    </row>
    <row r="80" spans="1:15" s="192" customFormat="1" ht="25.5" x14ac:dyDescent="0.2">
      <c r="A80" s="266" t="s">
        <v>1012</v>
      </c>
      <c r="B80" s="220" t="s">
        <v>1082</v>
      </c>
      <c r="C80" s="220" t="s">
        <v>57</v>
      </c>
      <c r="D80" s="210" t="s">
        <v>49</v>
      </c>
      <c r="E80" s="211" t="s">
        <v>1007</v>
      </c>
      <c r="F80" s="209" t="s">
        <v>158</v>
      </c>
      <c r="G80" s="235">
        <v>40</v>
      </c>
      <c r="H80" s="212">
        <v>17.100000000000001</v>
      </c>
      <c r="I80" s="212">
        <f t="shared" si="3"/>
        <v>20.5</v>
      </c>
      <c r="J80" s="212">
        <f t="shared" si="2"/>
        <v>820</v>
      </c>
      <c r="K80" s="193"/>
      <c r="L80" s="193"/>
      <c r="M80" s="193"/>
      <c r="N80" s="193"/>
      <c r="O80" s="193"/>
    </row>
    <row r="81" spans="1:15" s="192" customFormat="1" ht="25.5" x14ac:dyDescent="0.2">
      <c r="A81" s="266" t="s">
        <v>1013</v>
      </c>
      <c r="B81" s="220" t="s">
        <v>1082</v>
      </c>
      <c r="C81" s="220" t="s">
        <v>57</v>
      </c>
      <c r="D81" s="210" t="s">
        <v>49</v>
      </c>
      <c r="E81" s="211" t="s">
        <v>1008</v>
      </c>
      <c r="F81" s="209" t="s">
        <v>158</v>
      </c>
      <c r="G81" s="235">
        <v>5</v>
      </c>
      <c r="H81" s="212">
        <v>19.04</v>
      </c>
      <c r="I81" s="212">
        <f t="shared" si="3"/>
        <v>22.83</v>
      </c>
      <c r="J81" s="212">
        <f t="shared" si="2"/>
        <v>114.15</v>
      </c>
      <c r="K81" s="193"/>
      <c r="L81" s="193"/>
      <c r="M81" s="193"/>
      <c r="N81" s="193"/>
      <c r="O81" s="193"/>
    </row>
    <row r="82" spans="1:15" s="192" customFormat="1" ht="25.5" x14ac:dyDescent="0.2">
      <c r="A82" s="266" t="s">
        <v>1014</v>
      </c>
      <c r="B82" s="220" t="s">
        <v>842</v>
      </c>
      <c r="C82" s="220" t="s">
        <v>57</v>
      </c>
      <c r="D82" s="210" t="s">
        <v>49</v>
      </c>
      <c r="E82" s="211" t="s">
        <v>1009</v>
      </c>
      <c r="F82" s="209" t="s">
        <v>68</v>
      </c>
      <c r="G82" s="235">
        <v>12</v>
      </c>
      <c r="H82" s="212">
        <v>19.75</v>
      </c>
      <c r="I82" s="212">
        <f t="shared" si="3"/>
        <v>23.68</v>
      </c>
      <c r="J82" s="212">
        <f t="shared" si="2"/>
        <v>284.16000000000003</v>
      </c>
      <c r="K82" s="193"/>
      <c r="L82" s="193"/>
      <c r="M82" s="193"/>
      <c r="N82" s="193"/>
      <c r="O82" s="193"/>
    </row>
    <row r="83" spans="1:15" s="192" customFormat="1" ht="25.5" x14ac:dyDescent="0.2">
      <c r="A83" s="266" t="s">
        <v>1015</v>
      </c>
      <c r="B83" s="220" t="s">
        <v>843</v>
      </c>
      <c r="C83" s="220" t="s">
        <v>57</v>
      </c>
      <c r="D83" s="210" t="s">
        <v>49</v>
      </c>
      <c r="E83" s="211" t="s">
        <v>1010</v>
      </c>
      <c r="F83" s="209" t="s">
        <v>68</v>
      </c>
      <c r="G83" s="235">
        <v>5</v>
      </c>
      <c r="H83" s="212">
        <v>36.5</v>
      </c>
      <c r="I83" s="212">
        <f t="shared" si="3"/>
        <v>43.76</v>
      </c>
      <c r="J83" s="212">
        <f t="shared" si="2"/>
        <v>218.8</v>
      </c>
      <c r="K83" s="193"/>
      <c r="L83" s="193"/>
      <c r="M83" s="193"/>
      <c r="N83" s="193"/>
      <c r="O83" s="193"/>
    </row>
    <row r="84" spans="1:15" x14ac:dyDescent="0.2">
      <c r="A84" s="282" t="s">
        <v>634</v>
      </c>
      <c r="B84" s="276"/>
      <c r="C84" s="276"/>
      <c r="D84" s="276"/>
      <c r="E84" s="277" t="s">
        <v>160</v>
      </c>
      <c r="F84" s="276"/>
      <c r="G84" s="278"/>
      <c r="H84" s="279">
        <v>0</v>
      </c>
      <c r="I84" s="280"/>
      <c r="J84" s="280">
        <f>SUBTOTAL(9,J85:J96)</f>
        <v>2549.6800000000003</v>
      </c>
      <c r="K84" s="167"/>
      <c r="L84" s="167"/>
      <c r="M84" s="167"/>
      <c r="N84" s="167"/>
      <c r="O84" s="167"/>
    </row>
    <row r="85" spans="1:15" s="192" customFormat="1" x14ac:dyDescent="0.2">
      <c r="A85" s="266" t="s">
        <v>1064</v>
      </c>
      <c r="B85" s="220" t="s">
        <v>945</v>
      </c>
      <c r="C85" s="220" t="s">
        <v>365</v>
      </c>
      <c r="D85" s="210" t="s">
        <v>49</v>
      </c>
      <c r="E85" s="211" t="s">
        <v>335</v>
      </c>
      <c r="F85" s="209" t="s">
        <v>158</v>
      </c>
      <c r="G85" s="235">
        <v>1</v>
      </c>
      <c r="H85" s="212">
        <v>11.23</v>
      </c>
      <c r="I85" s="212">
        <f t="shared" ref="I85:I96" si="4">ROUND(IF(D85="S",(H85*(1+$I$7)),(H85*(1+$I$8))),2)</f>
        <v>13.46</v>
      </c>
      <c r="J85" s="212">
        <f t="shared" ref="J85:J96" si="5">ROUND(G85*I85,2)</f>
        <v>13.46</v>
      </c>
      <c r="K85" s="193"/>
      <c r="L85" s="193"/>
      <c r="M85" s="193"/>
      <c r="N85" s="193"/>
      <c r="O85" s="193"/>
    </row>
    <row r="86" spans="1:15" s="192" customFormat="1" ht="25.5" x14ac:dyDescent="0.2">
      <c r="A86" s="266" t="s">
        <v>1065</v>
      </c>
      <c r="B86" s="220" t="s">
        <v>945</v>
      </c>
      <c r="C86" s="220" t="s">
        <v>365</v>
      </c>
      <c r="D86" s="210" t="s">
        <v>49</v>
      </c>
      <c r="E86" s="211" t="s">
        <v>350</v>
      </c>
      <c r="F86" s="209" t="s">
        <v>158</v>
      </c>
      <c r="G86" s="235">
        <v>1</v>
      </c>
      <c r="H86" s="212">
        <v>11.23</v>
      </c>
      <c r="I86" s="212">
        <f t="shared" si="4"/>
        <v>13.46</v>
      </c>
      <c r="J86" s="212">
        <f t="shared" si="5"/>
        <v>13.46</v>
      </c>
      <c r="K86" s="193"/>
      <c r="L86" s="193"/>
      <c r="M86" s="193"/>
      <c r="N86" s="193"/>
      <c r="O86" s="193"/>
    </row>
    <row r="87" spans="1:15" s="192" customFormat="1" ht="25.5" x14ac:dyDescent="0.2">
      <c r="A87" s="266" t="s">
        <v>1066</v>
      </c>
      <c r="B87" s="220" t="s">
        <v>1023</v>
      </c>
      <c r="C87" s="220" t="s">
        <v>365</v>
      </c>
      <c r="D87" s="210" t="s">
        <v>49</v>
      </c>
      <c r="E87" s="211" t="s">
        <v>356</v>
      </c>
      <c r="F87" s="209" t="s">
        <v>158</v>
      </c>
      <c r="G87" s="235">
        <v>1</v>
      </c>
      <c r="H87" s="212">
        <v>29.68</v>
      </c>
      <c r="I87" s="212">
        <f t="shared" si="4"/>
        <v>35.590000000000003</v>
      </c>
      <c r="J87" s="212">
        <f t="shared" si="5"/>
        <v>35.590000000000003</v>
      </c>
      <c r="K87" s="193"/>
      <c r="L87" s="193"/>
      <c r="M87" s="193"/>
      <c r="N87" s="193"/>
      <c r="O87" s="193"/>
    </row>
    <row r="88" spans="1:15" s="192" customFormat="1" ht="38.25" x14ac:dyDescent="0.2">
      <c r="A88" s="266" t="s">
        <v>1067</v>
      </c>
      <c r="B88" s="220" t="s">
        <v>977</v>
      </c>
      <c r="C88" s="220" t="s">
        <v>44</v>
      </c>
      <c r="D88" s="210" t="s">
        <v>32</v>
      </c>
      <c r="E88" s="211" t="s">
        <v>976</v>
      </c>
      <c r="F88" s="209" t="s">
        <v>45</v>
      </c>
      <c r="G88" s="235">
        <v>1</v>
      </c>
      <c r="H88" s="212">
        <v>123.73</v>
      </c>
      <c r="I88" s="212">
        <f t="shared" si="4"/>
        <v>160.91</v>
      </c>
      <c r="J88" s="212">
        <f t="shared" si="5"/>
        <v>160.91</v>
      </c>
      <c r="K88" s="193"/>
      <c r="L88" s="193"/>
      <c r="M88" s="193"/>
      <c r="N88" s="193"/>
      <c r="O88" s="193"/>
    </row>
    <row r="89" spans="1:15" s="192" customFormat="1" ht="38.25" x14ac:dyDescent="0.2">
      <c r="A89" s="266" t="s">
        <v>1068</v>
      </c>
      <c r="B89" s="220" t="s">
        <v>1018</v>
      </c>
      <c r="C89" s="220" t="s">
        <v>44</v>
      </c>
      <c r="D89" s="210" t="s">
        <v>32</v>
      </c>
      <c r="E89" s="211" t="s">
        <v>1019</v>
      </c>
      <c r="F89" s="209" t="s">
        <v>45</v>
      </c>
      <c r="G89" s="235">
        <v>1</v>
      </c>
      <c r="H89" s="212">
        <v>43.85</v>
      </c>
      <c r="I89" s="212">
        <f t="shared" si="4"/>
        <v>57.03</v>
      </c>
      <c r="J89" s="212">
        <f t="shared" si="5"/>
        <v>57.03</v>
      </c>
      <c r="K89" s="193"/>
      <c r="L89" s="193"/>
      <c r="M89" s="193"/>
      <c r="N89" s="193"/>
      <c r="O89" s="193"/>
    </row>
    <row r="90" spans="1:15" s="192" customFormat="1" ht="38.25" x14ac:dyDescent="0.2">
      <c r="A90" s="266" t="s">
        <v>1069</v>
      </c>
      <c r="B90" s="220" t="s">
        <v>946</v>
      </c>
      <c r="C90" s="220" t="s">
        <v>44</v>
      </c>
      <c r="D90" s="210" t="s">
        <v>32</v>
      </c>
      <c r="E90" s="211" t="s">
        <v>988</v>
      </c>
      <c r="F90" s="209" t="s">
        <v>45</v>
      </c>
      <c r="G90" s="235">
        <v>5</v>
      </c>
      <c r="H90" s="212">
        <v>41.27</v>
      </c>
      <c r="I90" s="212">
        <f t="shared" si="4"/>
        <v>53.67</v>
      </c>
      <c r="J90" s="212">
        <f t="shared" si="5"/>
        <v>268.35000000000002</v>
      </c>
      <c r="K90" s="193"/>
      <c r="L90" s="193"/>
      <c r="M90" s="193"/>
      <c r="N90" s="193"/>
      <c r="O90" s="193"/>
    </row>
    <row r="91" spans="1:15" s="192" customFormat="1" ht="38.25" x14ac:dyDescent="0.2">
      <c r="A91" s="266" t="s">
        <v>1070</v>
      </c>
      <c r="B91" s="220" t="s">
        <v>990</v>
      </c>
      <c r="C91" s="220" t="s">
        <v>44</v>
      </c>
      <c r="D91" s="210" t="s">
        <v>32</v>
      </c>
      <c r="E91" s="211" t="s">
        <v>995</v>
      </c>
      <c r="F91" s="209" t="s">
        <v>45</v>
      </c>
      <c r="G91" s="235">
        <v>3</v>
      </c>
      <c r="H91" s="212">
        <v>26.95</v>
      </c>
      <c r="I91" s="212">
        <f t="shared" si="4"/>
        <v>35.049999999999997</v>
      </c>
      <c r="J91" s="212">
        <f t="shared" si="5"/>
        <v>105.15</v>
      </c>
      <c r="K91" s="193"/>
      <c r="L91" s="193"/>
      <c r="M91" s="193"/>
      <c r="N91" s="193"/>
      <c r="O91" s="193"/>
    </row>
    <row r="92" spans="1:15" s="192" customFormat="1" ht="38.25" x14ac:dyDescent="0.2">
      <c r="A92" s="266" t="s">
        <v>1071</v>
      </c>
      <c r="B92" s="220" t="s">
        <v>982</v>
      </c>
      <c r="C92" s="220" t="s">
        <v>44</v>
      </c>
      <c r="D92" s="210" t="s">
        <v>32</v>
      </c>
      <c r="E92" s="211" t="s">
        <v>983</v>
      </c>
      <c r="F92" s="209" t="s">
        <v>45</v>
      </c>
      <c r="G92" s="235">
        <v>5</v>
      </c>
      <c r="H92" s="212">
        <v>58.17</v>
      </c>
      <c r="I92" s="212">
        <f t="shared" si="4"/>
        <v>75.650000000000006</v>
      </c>
      <c r="J92" s="212">
        <f t="shared" si="5"/>
        <v>378.25</v>
      </c>
      <c r="K92" s="193"/>
      <c r="L92" s="193"/>
      <c r="M92" s="193"/>
      <c r="N92" s="193"/>
      <c r="O92" s="193"/>
    </row>
    <row r="93" spans="1:15" s="192" customFormat="1" ht="38.25" x14ac:dyDescent="0.2">
      <c r="A93" s="266" t="s">
        <v>1072</v>
      </c>
      <c r="B93" s="220" t="s">
        <v>947</v>
      </c>
      <c r="C93" s="220" t="s">
        <v>44</v>
      </c>
      <c r="D93" s="210" t="s">
        <v>32</v>
      </c>
      <c r="E93" s="211" t="s">
        <v>1000</v>
      </c>
      <c r="F93" s="209" t="s">
        <v>45</v>
      </c>
      <c r="G93" s="235">
        <v>2</v>
      </c>
      <c r="H93" s="212">
        <v>75.069999999999993</v>
      </c>
      <c r="I93" s="212">
        <f t="shared" si="4"/>
        <v>97.63</v>
      </c>
      <c r="J93" s="212">
        <f t="shared" si="5"/>
        <v>195.26</v>
      </c>
      <c r="K93" s="193"/>
      <c r="L93" s="193"/>
      <c r="M93" s="193"/>
      <c r="N93" s="193"/>
      <c r="O93" s="193"/>
    </row>
    <row r="94" spans="1:15" s="192" customFormat="1" ht="25.5" x14ac:dyDescent="0.2">
      <c r="A94" s="266" t="s">
        <v>1073</v>
      </c>
      <c r="B94" s="220" t="s">
        <v>1016</v>
      </c>
      <c r="C94" s="220" t="s">
        <v>44</v>
      </c>
      <c r="D94" s="210" t="s">
        <v>32</v>
      </c>
      <c r="E94" s="211" t="s">
        <v>1017</v>
      </c>
      <c r="F94" s="209" t="s">
        <v>35</v>
      </c>
      <c r="G94" s="235">
        <v>16.399999999999999</v>
      </c>
      <c r="H94" s="212">
        <v>18.03</v>
      </c>
      <c r="I94" s="212">
        <f t="shared" si="4"/>
        <v>23.45</v>
      </c>
      <c r="J94" s="212">
        <f t="shared" si="5"/>
        <v>384.58</v>
      </c>
      <c r="K94" s="193"/>
      <c r="L94" s="193"/>
      <c r="M94" s="193"/>
      <c r="N94" s="193"/>
      <c r="O94" s="193"/>
    </row>
    <row r="95" spans="1:15" s="192" customFormat="1" ht="25.5" x14ac:dyDescent="0.2">
      <c r="A95" s="266" t="s">
        <v>1074</v>
      </c>
      <c r="B95" s="220" t="s">
        <v>949</v>
      </c>
      <c r="C95" s="220" t="s">
        <v>44</v>
      </c>
      <c r="D95" s="210" t="s">
        <v>32</v>
      </c>
      <c r="E95" s="211" t="s">
        <v>999</v>
      </c>
      <c r="F95" s="209" t="s">
        <v>35</v>
      </c>
      <c r="G95" s="235">
        <v>14.4</v>
      </c>
      <c r="H95" s="212">
        <v>9.93</v>
      </c>
      <c r="I95" s="212">
        <f t="shared" si="4"/>
        <v>12.91</v>
      </c>
      <c r="J95" s="212">
        <f t="shared" si="5"/>
        <v>185.9</v>
      </c>
      <c r="K95" s="193"/>
      <c r="L95" s="193"/>
      <c r="M95" s="193"/>
      <c r="N95" s="193"/>
      <c r="O95" s="193"/>
    </row>
    <row r="96" spans="1:15" s="192" customFormat="1" ht="25.5" x14ac:dyDescent="0.2">
      <c r="A96" s="267" t="s">
        <v>1075</v>
      </c>
      <c r="B96" s="221" t="s">
        <v>980</v>
      </c>
      <c r="C96" s="221" t="s">
        <v>44</v>
      </c>
      <c r="D96" s="214" t="s">
        <v>32</v>
      </c>
      <c r="E96" s="215" t="s">
        <v>981</v>
      </c>
      <c r="F96" s="213" t="s">
        <v>35</v>
      </c>
      <c r="G96" s="236">
        <v>41.35</v>
      </c>
      <c r="H96" s="216">
        <v>13.98</v>
      </c>
      <c r="I96" s="216">
        <f t="shared" si="4"/>
        <v>18.18</v>
      </c>
      <c r="J96" s="216">
        <f t="shared" si="5"/>
        <v>751.74</v>
      </c>
      <c r="K96" s="193"/>
      <c r="L96" s="193"/>
      <c r="M96" s="193"/>
      <c r="N96" s="193"/>
      <c r="O96" s="193"/>
    </row>
  </sheetData>
  <mergeCells count="10">
    <mergeCell ref="A5:J5"/>
    <mergeCell ref="A6:E8"/>
    <mergeCell ref="F6:H6"/>
    <mergeCell ref="F7:H7"/>
    <mergeCell ref="F8:H8"/>
    <mergeCell ref="B1:E1"/>
    <mergeCell ref="F1:J4"/>
    <mergeCell ref="B2:E2"/>
    <mergeCell ref="B3:E3"/>
    <mergeCell ref="B4:E4"/>
  </mergeCells>
  <phoneticPr fontId="11" type="noConversion"/>
  <printOptions horizontalCentered="1"/>
  <pageMargins left="0.70866141732283472" right="0.70866141732283472" top="0.74803149606299213" bottom="0.74803149606299213" header="0" footer="0"/>
  <pageSetup scale="59" orientation="landscape" r:id="rId1"/>
  <headerFooter>
    <oddFooter>&amp;CPágina &amp;P de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03"/>
  <sheetViews>
    <sheetView view="pageBreakPreview" zoomScaleSheetLayoutView="100" workbookViewId="0">
      <selection activeCell="E1" sqref="E1:G4"/>
    </sheetView>
  </sheetViews>
  <sheetFormatPr defaultColWidth="12.5703125" defaultRowHeight="15" customHeight="1" x14ac:dyDescent="0.2"/>
  <cols>
    <col min="1" max="1" width="11.28515625" bestFit="1" customWidth="1"/>
    <col min="2" max="2" width="23" customWidth="1"/>
    <col min="3" max="3" width="9.42578125" customWidth="1"/>
    <col min="4" max="5" width="8" customWidth="1"/>
    <col min="6" max="6" width="25.140625" customWidth="1"/>
    <col min="7" max="7" width="7.7109375" customWidth="1"/>
    <col min="8" max="11" width="8" customWidth="1"/>
  </cols>
  <sheetData>
    <row r="1" spans="1:8" s="175" customFormat="1" ht="15" customHeight="1" x14ac:dyDescent="0.2">
      <c r="A1" s="1" t="s">
        <v>0</v>
      </c>
      <c r="B1" s="331" t="s">
        <v>1</v>
      </c>
      <c r="C1" s="312"/>
      <c r="D1" s="313"/>
      <c r="E1" s="383" t="s">
        <v>2</v>
      </c>
      <c r="F1" s="384"/>
      <c r="G1" s="384"/>
    </row>
    <row r="2" spans="1:8" s="175" customFormat="1" ht="15" customHeight="1" x14ac:dyDescent="0.2">
      <c r="A2" s="1" t="s">
        <v>3</v>
      </c>
      <c r="B2" s="331" t="s">
        <v>4</v>
      </c>
      <c r="C2" s="312"/>
      <c r="D2" s="313"/>
      <c r="E2" s="383"/>
      <c r="F2" s="384"/>
      <c r="G2" s="384"/>
    </row>
    <row r="3" spans="1:8" s="175" customFormat="1" ht="15" customHeight="1" x14ac:dyDescent="0.2">
      <c r="A3" s="1" t="s">
        <v>5</v>
      </c>
      <c r="B3" s="328" t="s">
        <v>6</v>
      </c>
      <c r="C3" s="312"/>
      <c r="D3" s="313"/>
      <c r="E3" s="383"/>
      <c r="F3" s="384"/>
      <c r="G3" s="384"/>
    </row>
    <row r="4" spans="1:8" s="175" customFormat="1" ht="15" customHeight="1" x14ac:dyDescent="0.2">
      <c r="A4" s="176" t="s">
        <v>7</v>
      </c>
      <c r="B4" s="364"/>
      <c r="C4" s="340"/>
      <c r="D4" s="366"/>
      <c r="E4" s="383"/>
      <c r="F4" s="384"/>
      <c r="G4" s="384"/>
    </row>
    <row r="5" spans="1:8" ht="12.75" customHeight="1" x14ac:dyDescent="0.2">
      <c r="A5" s="385" t="s">
        <v>97</v>
      </c>
      <c r="B5" s="386"/>
      <c r="C5" s="386"/>
      <c r="D5" s="386"/>
      <c r="E5" s="386"/>
      <c r="F5" s="386"/>
      <c r="G5" s="386"/>
    </row>
    <row r="6" spans="1:8" ht="12.75" customHeight="1" x14ac:dyDescent="0.2">
      <c r="A6" s="387" t="s">
        <v>98</v>
      </c>
      <c r="B6" s="341"/>
      <c r="C6" s="327"/>
      <c r="D6" s="177"/>
      <c r="E6" s="387" t="s">
        <v>99</v>
      </c>
      <c r="F6" s="341"/>
      <c r="G6" s="327"/>
    </row>
    <row r="7" spans="1:8" ht="12.75" customHeight="1" x14ac:dyDescent="0.2">
      <c r="A7" s="74"/>
      <c r="B7" s="74"/>
      <c r="C7" s="74"/>
      <c r="E7" s="74"/>
      <c r="F7" s="74"/>
      <c r="G7" s="74"/>
    </row>
    <row r="8" spans="1:8" ht="12.75" customHeight="1" x14ac:dyDescent="0.2">
      <c r="A8" s="75">
        <v>1</v>
      </c>
      <c r="B8" s="76" t="s">
        <v>100</v>
      </c>
      <c r="C8" s="77">
        <f>SUM(C9:C12)</f>
        <v>5.6499999999999995E-2</v>
      </c>
      <c r="E8" s="75">
        <v>1</v>
      </c>
      <c r="F8" s="76" t="s">
        <v>100</v>
      </c>
      <c r="G8" s="77">
        <f>SUM(G9:G12)</f>
        <v>3.2100000000000004E-2</v>
      </c>
    </row>
    <row r="9" spans="1:8" ht="12.75" customHeight="1" x14ac:dyDescent="0.2">
      <c r="A9" s="78" t="s">
        <v>31</v>
      </c>
      <c r="B9" s="79" t="s">
        <v>101</v>
      </c>
      <c r="C9" s="80">
        <v>3.4299999999999997E-2</v>
      </c>
      <c r="E9" s="78" t="s">
        <v>31</v>
      </c>
      <c r="F9" s="79" t="s">
        <v>101</v>
      </c>
      <c r="G9" s="80">
        <v>1.4999999999999999E-2</v>
      </c>
    </row>
    <row r="10" spans="1:8" ht="12.75" customHeight="1" x14ac:dyDescent="0.2">
      <c r="A10" s="78" t="s">
        <v>33</v>
      </c>
      <c r="B10" s="79" t="s">
        <v>102</v>
      </c>
      <c r="C10" s="80">
        <v>2.8E-3</v>
      </c>
      <c r="E10" s="78" t="s">
        <v>33</v>
      </c>
      <c r="F10" s="79" t="s">
        <v>102</v>
      </c>
      <c r="G10" s="80">
        <v>3.0000000000000001E-3</v>
      </c>
      <c r="H10" s="81"/>
    </row>
    <row r="11" spans="1:8" ht="12.75" customHeight="1" x14ac:dyDescent="0.2">
      <c r="A11" s="78" t="s">
        <v>34</v>
      </c>
      <c r="B11" s="79" t="s">
        <v>103</v>
      </c>
      <c r="C11" s="80">
        <v>0.01</v>
      </c>
      <c r="E11" s="78" t="s">
        <v>34</v>
      </c>
      <c r="F11" s="79" t="s">
        <v>103</v>
      </c>
      <c r="G11" s="80">
        <v>5.5999999999999999E-3</v>
      </c>
    </row>
    <row r="12" spans="1:8" ht="12.75" customHeight="1" x14ac:dyDescent="0.2">
      <c r="A12" s="78" t="s">
        <v>36</v>
      </c>
      <c r="B12" s="79" t="s">
        <v>104</v>
      </c>
      <c r="C12" s="80">
        <v>9.4000000000000004E-3</v>
      </c>
      <c r="E12" s="78" t="s">
        <v>36</v>
      </c>
      <c r="F12" s="79" t="s">
        <v>104</v>
      </c>
      <c r="G12" s="80">
        <v>8.5000000000000006E-3</v>
      </c>
    </row>
    <row r="13" spans="1:8" ht="12.75" customHeight="1" x14ac:dyDescent="0.2">
      <c r="A13" s="75">
        <v>2</v>
      </c>
      <c r="B13" s="76" t="s">
        <v>105</v>
      </c>
      <c r="C13" s="77">
        <f>SUM(C14:C17)</f>
        <v>0.13150000000000001</v>
      </c>
      <c r="E13" s="75">
        <v>2</v>
      </c>
      <c r="F13" s="76" t="s">
        <v>105</v>
      </c>
      <c r="G13" s="77">
        <f>SUM(G14:G17)</f>
        <v>9.5000000000000001E-2</v>
      </c>
    </row>
    <row r="14" spans="1:8" ht="12.75" customHeight="1" x14ac:dyDescent="0.2">
      <c r="A14" s="78" t="s">
        <v>41</v>
      </c>
      <c r="B14" s="79" t="s">
        <v>106</v>
      </c>
      <c r="C14" s="80">
        <v>0.03</v>
      </c>
      <c r="E14" s="78" t="s">
        <v>41</v>
      </c>
      <c r="F14" s="79" t="s">
        <v>106</v>
      </c>
      <c r="G14" s="80" t="s">
        <v>42</v>
      </c>
    </row>
    <row r="15" spans="1:8" ht="12.75" customHeight="1" x14ac:dyDescent="0.2">
      <c r="A15" s="78" t="s">
        <v>43</v>
      </c>
      <c r="B15" s="79" t="s">
        <v>107</v>
      </c>
      <c r="C15" s="80">
        <v>6.4999999999999997E-3</v>
      </c>
      <c r="E15" s="78" t="s">
        <v>43</v>
      </c>
      <c r="F15" s="79" t="s">
        <v>107</v>
      </c>
      <c r="G15" s="80" t="s">
        <v>42</v>
      </c>
    </row>
    <row r="16" spans="1:8" ht="12.75" customHeight="1" x14ac:dyDescent="0.2">
      <c r="A16" s="78" t="s">
        <v>108</v>
      </c>
      <c r="B16" s="79" t="s">
        <v>109</v>
      </c>
      <c r="C16" s="80">
        <v>0.05</v>
      </c>
      <c r="E16" s="78" t="s">
        <v>108</v>
      </c>
      <c r="F16" s="79" t="s">
        <v>109</v>
      </c>
      <c r="G16" s="80">
        <v>0.05</v>
      </c>
    </row>
    <row r="17" spans="1:7" ht="12.75" customHeight="1" x14ac:dyDescent="0.2">
      <c r="A17" s="78" t="s">
        <v>110</v>
      </c>
      <c r="B17" s="79" t="s">
        <v>111</v>
      </c>
      <c r="C17" s="80">
        <v>4.4999999999999998E-2</v>
      </c>
      <c r="E17" s="78" t="s">
        <v>110</v>
      </c>
      <c r="F17" s="79" t="s">
        <v>111</v>
      </c>
      <c r="G17" s="80">
        <v>4.4999999999999998E-2</v>
      </c>
    </row>
    <row r="18" spans="1:7" ht="12.75" customHeight="1" x14ac:dyDescent="0.2">
      <c r="A18" s="75">
        <v>3</v>
      </c>
      <c r="B18" s="76" t="s">
        <v>112</v>
      </c>
      <c r="C18" s="77">
        <f>C19</f>
        <v>6.8599999999999994E-2</v>
      </c>
      <c r="E18" s="75">
        <v>3</v>
      </c>
      <c r="F18" s="76" t="s">
        <v>112</v>
      </c>
      <c r="G18" s="77">
        <v>5.11E-2</v>
      </c>
    </row>
    <row r="19" spans="1:7" ht="12.75" customHeight="1" x14ac:dyDescent="0.2">
      <c r="A19" s="78" t="s">
        <v>46</v>
      </c>
      <c r="B19" s="79" t="s">
        <v>113</v>
      </c>
      <c r="C19" s="80">
        <v>6.8599999999999994E-2</v>
      </c>
      <c r="E19" s="78" t="s">
        <v>46</v>
      </c>
      <c r="F19" s="79" t="s">
        <v>113</v>
      </c>
      <c r="G19" s="80">
        <v>5.11E-2</v>
      </c>
    </row>
    <row r="20" spans="1:7" ht="12.75" customHeight="1" x14ac:dyDescent="0.2">
      <c r="A20" s="82"/>
      <c r="B20" s="83" t="s">
        <v>114</v>
      </c>
      <c r="C20" s="84">
        <f>ROUND((((1+(C9+C10+C11))*(1+C12)*(1+C18))/(1-C13))-1,4)</f>
        <v>0.30049999999999999</v>
      </c>
      <c r="E20" s="82"/>
      <c r="F20" s="83" t="s">
        <v>114</v>
      </c>
      <c r="G20" s="84">
        <f>ROUND((((1+(G9+G10+G11))*(1+G12)*(1+G18))/(1-G13))-1,4)</f>
        <v>0.19900000000000001</v>
      </c>
    </row>
    <row r="21" spans="1:7" ht="12.75" customHeight="1" x14ac:dyDescent="0.2"/>
    <row r="22" spans="1:7" ht="15" customHeight="1" x14ac:dyDescent="0.25">
      <c r="A22" s="388" t="s">
        <v>115</v>
      </c>
      <c r="B22" s="319"/>
      <c r="D22" s="81"/>
      <c r="E22" s="389"/>
      <c r="F22" s="316"/>
    </row>
    <row r="23" spans="1:7" ht="12.75" customHeight="1" x14ac:dyDescent="0.2">
      <c r="E23" s="11"/>
      <c r="F23" s="11"/>
    </row>
    <row r="24" spans="1:7" ht="12.75" customHeight="1" x14ac:dyDescent="0.2">
      <c r="E24" s="11"/>
      <c r="F24" s="11"/>
    </row>
    <row r="25" spans="1:7" ht="12.75" customHeight="1" x14ac:dyDescent="0.2">
      <c r="E25" s="11"/>
      <c r="F25" s="11"/>
    </row>
    <row r="26" spans="1:7" ht="15" customHeight="1" x14ac:dyDescent="0.25">
      <c r="A26" s="85" t="s">
        <v>116</v>
      </c>
      <c r="B26" s="86" t="s">
        <v>117</v>
      </c>
      <c r="E26" s="87"/>
      <c r="F26" s="88"/>
    </row>
    <row r="27" spans="1:7" ht="15" customHeight="1" x14ac:dyDescent="0.25">
      <c r="A27" s="89"/>
      <c r="B27" s="86" t="s">
        <v>118</v>
      </c>
      <c r="E27" s="11"/>
      <c r="F27" s="88"/>
    </row>
    <row r="28" spans="1:7" ht="15" customHeight="1" x14ac:dyDescent="0.25">
      <c r="A28" s="89"/>
      <c r="B28" s="86" t="s">
        <v>119</v>
      </c>
      <c r="E28" s="11"/>
      <c r="F28" s="88"/>
    </row>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sheetData>
  <mergeCells count="10">
    <mergeCell ref="A5:G5"/>
    <mergeCell ref="A6:C6"/>
    <mergeCell ref="E6:G6"/>
    <mergeCell ref="A22:B22"/>
    <mergeCell ref="E22:F22"/>
    <mergeCell ref="B1:D1"/>
    <mergeCell ref="B2:D2"/>
    <mergeCell ref="B3:D3"/>
    <mergeCell ref="B4:D4"/>
    <mergeCell ref="E1:G4"/>
  </mergeCells>
  <printOptions horizontalCentered="1"/>
  <pageMargins left="0.70866141732283472" right="0.70866141732283472" top="1.3130314960629921" bottom="0.74803149606299213" header="0" footer="0"/>
  <pageSetup paperSize="9" scale="92" orientation="portrait" r:id="rId1"/>
  <headerFooter>
    <oddFooter>&amp;CPágina &amp;P de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14</vt:i4>
      </vt:variant>
    </vt:vector>
  </HeadingPairs>
  <TitlesOfParts>
    <vt:vector size="24" baseType="lpstr">
      <vt:lpstr>Resumo</vt:lpstr>
      <vt:lpstr> 1-CANTEIRO</vt:lpstr>
      <vt:lpstr>2-ADMINISTRAÇÃO</vt:lpstr>
      <vt:lpstr>3-CAPTAÇÃO (2)</vt:lpstr>
      <vt:lpstr>4-ADUTORAS </vt:lpstr>
      <vt:lpstr>5-ETA </vt:lpstr>
      <vt:lpstr>7-RESERVATÓRIO APOIADO</vt:lpstr>
      <vt:lpstr>9-REL ELEVADO 227 M³</vt:lpstr>
      <vt:lpstr>BDI</vt:lpstr>
      <vt:lpstr>CRONOGRAMA</vt:lpstr>
      <vt:lpstr>' 1-CANTEIRO'!Area_de_impressao</vt:lpstr>
      <vt:lpstr>'2-ADMINISTRAÇÃO'!Area_de_impressao</vt:lpstr>
      <vt:lpstr>'3-CAPTAÇÃO (2)'!Area_de_impressao</vt:lpstr>
      <vt:lpstr>'4-ADUTORAS '!Area_de_impressao</vt:lpstr>
      <vt:lpstr>'7-RESERVATÓRIO APOIADO'!Area_de_impressao</vt:lpstr>
      <vt:lpstr>CRONOGRAMA!Area_de_impressao</vt:lpstr>
      <vt:lpstr>Resumo!Area_de_impressao</vt:lpstr>
      <vt:lpstr>' 1-CANTEIRO'!Titulos_de_impressao</vt:lpstr>
      <vt:lpstr>'2-ADMINISTRAÇÃO'!Titulos_de_impressao</vt:lpstr>
      <vt:lpstr>'3-CAPTAÇÃO (2)'!Titulos_de_impressao</vt:lpstr>
      <vt:lpstr>'4-ADUTORAS '!Titulos_de_impressao</vt:lpstr>
      <vt:lpstr>'5-ETA '!Titulos_de_impressao</vt:lpstr>
      <vt:lpstr>'9-REL ELEVADO 227 M³'!Titulos_de_impressao</vt:lpstr>
      <vt:lpstr>Resumo!Titulos_de_impressao</vt:lpstr>
    </vt:vector>
  </TitlesOfParts>
  <Company>Sanepar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InMail - Leitura de mensagem</dc:title>
  <dc:creator>Arijonas Ferraz</dc:creator>
  <cp:lastModifiedBy>KD</cp:lastModifiedBy>
  <cp:lastPrinted>2021-12-14T12:33:31Z</cp:lastPrinted>
  <dcterms:created xsi:type="dcterms:W3CDTF">2001-06-30T19:18:17Z</dcterms:created>
  <dcterms:modified xsi:type="dcterms:W3CDTF">2022-03-29T22:17:54Z</dcterms:modified>
</cp:coreProperties>
</file>